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70" yWindow="80" windowWidth="11460" windowHeight="7080"/>
  </bookViews>
  <sheets>
    <sheet name="Sheet1" sheetId="1" r:id="rId1"/>
    <sheet name="Sheet2" sheetId="2" r:id="rId2"/>
    <sheet name="Sheet3" sheetId="3" r:id="rId3"/>
  </sheets>
  <definedNames>
    <definedName name="OLE_LINK23" localSheetId="0">Sheet1!#REF!</definedName>
  </definedNames>
  <calcPr calcId="145621"/>
</workbook>
</file>

<file path=xl/calcChain.xml><?xml version="1.0" encoding="utf-8"?>
<calcChain xmlns="http://schemas.openxmlformats.org/spreadsheetml/2006/main">
  <c r="R21" i="1" l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3" i="1"/>
  <c r="R2" i="1"/>
  <c r="F3" i="1" l="1"/>
  <c r="G3" i="1"/>
  <c r="H3" i="1"/>
  <c r="I3" i="1"/>
  <c r="F4" i="1"/>
  <c r="G4" i="1"/>
  <c r="H4" i="1"/>
  <c r="I4" i="1"/>
  <c r="B11" i="1"/>
  <c r="H7" i="1"/>
  <c r="I7" i="1" s="1"/>
  <c r="G7" i="1"/>
  <c r="F7" i="1"/>
  <c r="H24" i="1"/>
  <c r="F24" i="1"/>
  <c r="B19" i="1"/>
  <c r="N4" i="1" s="1"/>
  <c r="O4" i="1" s="1"/>
  <c r="P4" i="1" l="1"/>
  <c r="Q4" i="1" s="1"/>
  <c r="J4" i="1"/>
  <c r="K4" i="1" s="1"/>
  <c r="M4" i="1" s="1"/>
  <c r="L3" i="1"/>
  <c r="J3" i="1"/>
  <c r="K3" i="1" s="1"/>
  <c r="M3" i="1" s="1"/>
  <c r="N3" i="1"/>
  <c r="O3" i="1" s="1"/>
  <c r="P3" i="1" s="1"/>
  <c r="Q3" i="1" s="1"/>
  <c r="L4" i="1"/>
  <c r="L7" i="1"/>
  <c r="N7" i="1"/>
  <c r="O7" i="1" s="1"/>
  <c r="J7" i="1"/>
  <c r="H5" i="1"/>
  <c r="I5" i="1" s="1"/>
  <c r="H6" i="1"/>
  <c r="I6" i="1" s="1"/>
  <c r="H8" i="1"/>
  <c r="I8" i="1" s="1"/>
  <c r="H9" i="1"/>
  <c r="I9" i="1" s="1"/>
  <c r="H10" i="1"/>
  <c r="I10" i="1" s="1"/>
  <c r="H11" i="1"/>
  <c r="I11" i="1" s="1"/>
  <c r="H12" i="1"/>
  <c r="I12" i="1" s="1"/>
  <c r="H13" i="1"/>
  <c r="I13" i="1" s="1"/>
  <c r="H14" i="1"/>
  <c r="I14" i="1" s="1"/>
  <c r="H15" i="1"/>
  <c r="I15" i="1" s="1"/>
  <c r="H16" i="1"/>
  <c r="I16" i="1" s="1"/>
  <c r="H17" i="1"/>
  <c r="I17" i="1" s="1"/>
  <c r="H18" i="1"/>
  <c r="I18" i="1" s="1"/>
  <c r="H19" i="1"/>
  <c r="I19" i="1" s="1"/>
  <c r="H20" i="1"/>
  <c r="I20" i="1" s="1"/>
  <c r="H21" i="1"/>
  <c r="I21" i="1" s="1"/>
  <c r="H22" i="1"/>
  <c r="I22" i="1" s="1"/>
  <c r="H23" i="1"/>
  <c r="I23" i="1" s="1"/>
  <c r="I24" i="1"/>
  <c r="J24" i="1" s="1"/>
  <c r="H25" i="1"/>
  <c r="I25" i="1" s="1"/>
  <c r="H26" i="1"/>
  <c r="I26" i="1" s="1"/>
  <c r="H27" i="1"/>
  <c r="I27" i="1" s="1"/>
  <c r="H28" i="1"/>
  <c r="I28" i="1" s="1"/>
  <c r="H29" i="1"/>
  <c r="I29" i="1" s="1"/>
  <c r="H30" i="1"/>
  <c r="I30" i="1" s="1"/>
  <c r="H31" i="1"/>
  <c r="I31" i="1" s="1"/>
  <c r="H32" i="1"/>
  <c r="I32" i="1" s="1"/>
  <c r="H33" i="1"/>
  <c r="I33" i="1" s="1"/>
  <c r="H34" i="1"/>
  <c r="I34" i="1" s="1"/>
  <c r="H2" i="1"/>
  <c r="I2" i="1" s="1"/>
  <c r="F5" i="1"/>
  <c r="G5" i="1"/>
  <c r="L5" i="1" s="1"/>
  <c r="F6" i="1"/>
  <c r="G6" i="1"/>
  <c r="L6" i="1" s="1"/>
  <c r="F8" i="1"/>
  <c r="J8" i="1" s="1"/>
  <c r="G8" i="1"/>
  <c r="L8" i="1" s="1"/>
  <c r="F9" i="1"/>
  <c r="G9" i="1"/>
  <c r="L9" i="1" s="1"/>
  <c r="F10" i="1"/>
  <c r="G10" i="1"/>
  <c r="L10" i="1" s="1"/>
  <c r="F11" i="1"/>
  <c r="G11" i="1"/>
  <c r="L11" i="1" s="1"/>
  <c r="F12" i="1"/>
  <c r="J12" i="1" s="1"/>
  <c r="G12" i="1"/>
  <c r="L12" i="1" s="1"/>
  <c r="F13" i="1"/>
  <c r="G13" i="1"/>
  <c r="L13" i="1" s="1"/>
  <c r="F14" i="1"/>
  <c r="G14" i="1"/>
  <c r="L14" i="1" s="1"/>
  <c r="F15" i="1"/>
  <c r="G15" i="1"/>
  <c r="L15" i="1" s="1"/>
  <c r="F16" i="1"/>
  <c r="J16" i="1" s="1"/>
  <c r="G16" i="1"/>
  <c r="L16" i="1" s="1"/>
  <c r="F17" i="1"/>
  <c r="G17" i="1"/>
  <c r="L17" i="1" s="1"/>
  <c r="F18" i="1"/>
  <c r="G18" i="1"/>
  <c r="F19" i="1"/>
  <c r="G19" i="1"/>
  <c r="F20" i="1"/>
  <c r="J20" i="1" s="1"/>
  <c r="G20" i="1"/>
  <c r="F21" i="1"/>
  <c r="G21" i="1"/>
  <c r="F22" i="1"/>
  <c r="G22" i="1"/>
  <c r="F23" i="1"/>
  <c r="G23" i="1"/>
  <c r="G24" i="1"/>
  <c r="F25" i="1"/>
  <c r="J25" i="1" s="1"/>
  <c r="G25" i="1"/>
  <c r="F26" i="1"/>
  <c r="G26" i="1"/>
  <c r="F27" i="1"/>
  <c r="G27" i="1"/>
  <c r="F28" i="1"/>
  <c r="G28" i="1"/>
  <c r="F29" i="1"/>
  <c r="J29" i="1" s="1"/>
  <c r="G29" i="1"/>
  <c r="F30" i="1"/>
  <c r="G30" i="1"/>
  <c r="F31" i="1"/>
  <c r="G31" i="1"/>
  <c r="F32" i="1"/>
  <c r="G32" i="1"/>
  <c r="F33" i="1"/>
  <c r="J33" i="1" s="1"/>
  <c r="G33" i="1"/>
  <c r="F34" i="1"/>
  <c r="G34" i="1"/>
  <c r="B9" i="1"/>
  <c r="G2" i="1"/>
  <c r="F2" i="1"/>
  <c r="S3" i="1" l="1"/>
  <c r="T3" i="1" s="1"/>
  <c r="S4" i="1"/>
  <c r="T4" i="1" s="1"/>
  <c r="L2" i="1"/>
  <c r="J14" i="1"/>
  <c r="J10" i="1"/>
  <c r="J5" i="1"/>
  <c r="J22" i="1"/>
  <c r="J18" i="1"/>
  <c r="J34" i="1"/>
  <c r="J30" i="1"/>
  <c r="J26" i="1"/>
  <c r="J21" i="1"/>
  <c r="J17" i="1"/>
  <c r="J13" i="1"/>
  <c r="J9" i="1"/>
  <c r="N31" i="1"/>
  <c r="O31" i="1" s="1"/>
  <c r="N27" i="1"/>
  <c r="O27" i="1" s="1"/>
  <c r="N23" i="1"/>
  <c r="O23" i="1" s="1"/>
  <c r="N19" i="1"/>
  <c r="O19" i="1" s="1"/>
  <c r="N15" i="1"/>
  <c r="O15" i="1" s="1"/>
  <c r="N11" i="1"/>
  <c r="O11" i="1" s="1"/>
  <c r="N6" i="1"/>
  <c r="O6" i="1" s="1"/>
  <c r="N2" i="1"/>
  <c r="O2" i="1" s="1"/>
  <c r="J2" i="1"/>
  <c r="N24" i="1"/>
  <c r="O24" i="1" s="1"/>
  <c r="J32" i="1"/>
  <c r="J28" i="1"/>
  <c r="J23" i="1"/>
  <c r="J15" i="1"/>
  <c r="J11" i="1"/>
  <c r="J6" i="1"/>
  <c r="N22" i="1"/>
  <c r="O22" i="1" s="1"/>
  <c r="N18" i="1"/>
  <c r="O18" i="1" s="1"/>
  <c r="N14" i="1"/>
  <c r="O14" i="1" s="1"/>
  <c r="N10" i="1"/>
  <c r="O10" i="1" s="1"/>
  <c r="N5" i="1"/>
  <c r="O5" i="1" s="1"/>
  <c r="J31" i="1"/>
  <c r="J27" i="1"/>
  <c r="N34" i="1"/>
  <c r="O34" i="1" s="1"/>
  <c r="N30" i="1"/>
  <c r="O30" i="1" s="1"/>
  <c r="N26" i="1"/>
  <c r="O26" i="1" s="1"/>
  <c r="N33" i="1"/>
  <c r="O33" i="1" s="1"/>
  <c r="N29" i="1"/>
  <c r="O29" i="1" s="1"/>
  <c r="N25" i="1"/>
  <c r="O25" i="1" s="1"/>
  <c r="N21" i="1"/>
  <c r="O21" i="1" s="1"/>
  <c r="N17" i="1"/>
  <c r="O17" i="1" s="1"/>
  <c r="N13" i="1"/>
  <c r="O13" i="1" s="1"/>
  <c r="N9" i="1"/>
  <c r="O9" i="1" s="1"/>
  <c r="N32" i="1"/>
  <c r="O32" i="1" s="1"/>
  <c r="N28" i="1"/>
  <c r="O28" i="1" s="1"/>
  <c r="N20" i="1"/>
  <c r="O20" i="1" s="1"/>
  <c r="N16" i="1"/>
  <c r="O16" i="1" s="1"/>
  <c r="N12" i="1"/>
  <c r="O12" i="1" s="1"/>
  <c r="N8" i="1"/>
  <c r="O8" i="1" s="1"/>
  <c r="J19" i="1"/>
  <c r="K8" i="1"/>
  <c r="M8" i="1" s="1"/>
  <c r="P7" i="1" l="1"/>
  <c r="Q7" i="1" s="1"/>
  <c r="K7" i="1"/>
  <c r="M7" i="1" s="1"/>
  <c r="K17" i="1"/>
  <c r="M17" i="1" s="1"/>
  <c r="P24" i="1"/>
  <c r="Q24" i="1" s="1"/>
  <c r="S24" i="1" s="1"/>
  <c r="K24" i="1"/>
  <c r="M24" i="1" s="1"/>
  <c r="P19" i="1"/>
  <c r="Q19" i="1" s="1"/>
  <c r="P9" i="1"/>
  <c r="Q9" i="1" s="1"/>
  <c r="P2" i="1"/>
  <c r="Q2" i="1" s="1"/>
  <c r="P25" i="1"/>
  <c r="Q25" i="1" s="1"/>
  <c r="P8" i="1"/>
  <c r="P14" i="1"/>
  <c r="Q14" i="1" s="1"/>
  <c r="P6" i="1"/>
  <c r="Q6" i="1" s="1"/>
  <c r="S6" i="1" s="1"/>
  <c r="P23" i="1"/>
  <c r="Q23" i="1" s="1"/>
  <c r="P10" i="1"/>
  <c r="Q10" i="1" s="1"/>
  <c r="P12" i="1"/>
  <c r="Q12" i="1" s="1"/>
  <c r="P28" i="1"/>
  <c r="Q28" i="1" s="1"/>
  <c r="S28" i="1" s="1"/>
  <c r="P13" i="1"/>
  <c r="Q13" i="1" s="1"/>
  <c r="P29" i="1"/>
  <c r="Q29" i="1" s="1"/>
  <c r="P22" i="1"/>
  <c r="Q22" i="1" s="1"/>
  <c r="P11" i="1"/>
  <c r="Q11" i="1" s="1"/>
  <c r="P27" i="1"/>
  <c r="Q27" i="1" s="1"/>
  <c r="P18" i="1"/>
  <c r="Q18" i="1" s="1"/>
  <c r="P16" i="1"/>
  <c r="Q16" i="1" s="1"/>
  <c r="P32" i="1"/>
  <c r="Q32" i="1" s="1"/>
  <c r="S32" i="1" s="1"/>
  <c r="P17" i="1"/>
  <c r="Q17" i="1" s="1"/>
  <c r="P33" i="1"/>
  <c r="Q33" i="1" s="1"/>
  <c r="P30" i="1"/>
  <c r="Q30" i="1" s="1"/>
  <c r="P15" i="1"/>
  <c r="Q15" i="1" s="1"/>
  <c r="S15" i="1" s="1"/>
  <c r="P31" i="1"/>
  <c r="Q31" i="1" s="1"/>
  <c r="P26" i="1"/>
  <c r="Q26" i="1" s="1"/>
  <c r="P20" i="1"/>
  <c r="Q20" i="1" s="1"/>
  <c r="K2" i="1"/>
  <c r="M2" i="1" s="1"/>
  <c r="P21" i="1"/>
  <c r="Q21" i="1" s="1"/>
  <c r="P5" i="1"/>
  <c r="Q5" i="1" s="1"/>
  <c r="P34" i="1"/>
  <c r="Q34" i="1" s="1"/>
  <c r="K34" i="1"/>
  <c r="M34" i="1" s="1"/>
  <c r="K10" i="1"/>
  <c r="M10" i="1" s="1"/>
  <c r="K18" i="1"/>
  <c r="M18" i="1" s="1"/>
  <c r="K27" i="1"/>
  <c r="M27" i="1" s="1"/>
  <c r="K16" i="1"/>
  <c r="M16" i="1" s="1"/>
  <c r="K32" i="1"/>
  <c r="M32" i="1" s="1"/>
  <c r="K9" i="1"/>
  <c r="M9" i="1" s="1"/>
  <c r="K25" i="1"/>
  <c r="M25" i="1" s="1"/>
  <c r="K11" i="1"/>
  <c r="M11" i="1" s="1"/>
  <c r="K26" i="1"/>
  <c r="M26" i="1" s="1"/>
  <c r="K20" i="1"/>
  <c r="M20" i="1" s="1"/>
  <c r="K13" i="1"/>
  <c r="M13" i="1" s="1"/>
  <c r="K29" i="1"/>
  <c r="M29" i="1" s="1"/>
  <c r="K15" i="1"/>
  <c r="M15" i="1" s="1"/>
  <c r="K5" i="1"/>
  <c r="M5" i="1" s="1"/>
  <c r="K30" i="1"/>
  <c r="M30" i="1" s="1"/>
  <c r="K33" i="1"/>
  <c r="M33" i="1" s="1"/>
  <c r="K23" i="1"/>
  <c r="M23" i="1" s="1"/>
  <c r="K14" i="1"/>
  <c r="M14" i="1" s="1"/>
  <c r="K19" i="1"/>
  <c r="M19" i="1" s="1"/>
  <c r="K12" i="1"/>
  <c r="M12" i="1" s="1"/>
  <c r="K28" i="1"/>
  <c r="M28" i="1" s="1"/>
  <c r="K21" i="1"/>
  <c r="M21" i="1" s="1"/>
  <c r="K6" i="1"/>
  <c r="M6" i="1" s="1"/>
  <c r="K31" i="1"/>
  <c r="M31" i="1" s="1"/>
  <c r="K22" i="1"/>
  <c r="M22" i="1" s="1"/>
  <c r="S20" i="1" l="1"/>
  <c r="S14" i="1"/>
  <c r="T14" i="1" s="1"/>
  <c r="S9" i="1"/>
  <c r="T9" i="1" s="1"/>
  <c r="S22" i="1"/>
  <c r="T22" i="1" s="1"/>
  <c r="S11" i="1"/>
  <c r="T11" i="1" s="1"/>
  <c r="S16" i="1"/>
  <c r="T16" i="1" s="1"/>
  <c r="S12" i="1"/>
  <c r="T12" i="1" s="1"/>
  <c r="S5" i="1"/>
  <c r="T5" i="1" s="1"/>
  <c r="S26" i="1"/>
  <c r="S33" i="1"/>
  <c r="T33" i="1" s="1"/>
  <c r="S18" i="1"/>
  <c r="T18" i="1" s="1"/>
  <c r="S29" i="1"/>
  <c r="T29" i="1" s="1"/>
  <c r="S10" i="1"/>
  <c r="T10" i="1" s="1"/>
  <c r="Q8" i="1"/>
  <c r="S8" i="1" s="1"/>
  <c r="T8" i="1" s="1"/>
  <c r="S19" i="1"/>
  <c r="T19" i="1" s="1"/>
  <c r="S34" i="1"/>
  <c r="S30" i="1"/>
  <c r="S21" i="1"/>
  <c r="T21" i="1" s="1"/>
  <c r="S31" i="1"/>
  <c r="T31" i="1" s="1"/>
  <c r="S17" i="1"/>
  <c r="S27" i="1"/>
  <c r="T27" i="1" s="1"/>
  <c r="S13" i="1"/>
  <c r="T13" i="1" s="1"/>
  <c r="S23" i="1"/>
  <c r="T23" i="1" s="1"/>
  <c r="S25" i="1"/>
  <c r="T25" i="1" s="1"/>
  <c r="S7" i="1"/>
  <c r="T26" i="1"/>
  <c r="T15" i="1"/>
  <c r="T17" i="1"/>
  <c r="T6" i="1"/>
  <c r="T7" i="1"/>
  <c r="T32" i="1"/>
  <c r="T28" i="1"/>
  <c r="S2" i="1"/>
  <c r="T2" i="1" s="1"/>
  <c r="T24" i="1"/>
  <c r="T34" i="1"/>
  <c r="T20" i="1"/>
  <c r="T30" i="1"/>
</calcChain>
</file>

<file path=xl/sharedStrings.xml><?xml version="1.0" encoding="utf-8"?>
<sst xmlns="http://schemas.openxmlformats.org/spreadsheetml/2006/main" count="35" uniqueCount="34">
  <si>
    <t>dp(um)</t>
  </si>
  <si>
    <t>dp(m)</t>
  </si>
  <si>
    <t>um</t>
  </si>
  <si>
    <t>Filter thickness L=</t>
  </si>
  <si>
    <t>cm</t>
  </si>
  <si>
    <t>Filter fiber dia. df=</t>
  </si>
  <si>
    <t>Pa.s</t>
  </si>
  <si>
    <t>R=dp/df</t>
  </si>
  <si>
    <t>λ=</t>
  </si>
  <si>
    <t>µ=</t>
  </si>
  <si>
    <r>
      <t xml:space="preserve">Filter solidity </t>
    </r>
    <r>
      <rPr>
        <sz val="11"/>
        <color theme="1"/>
        <rFont val="Calibri"/>
        <family val="2"/>
      </rPr>
      <t>α=</t>
    </r>
  </si>
  <si>
    <t>-</t>
  </si>
  <si>
    <t>Knf=2λ/df=</t>
  </si>
  <si>
    <t>I=(29.6-28α^0.62 ) R^2-27.5R^2.8</t>
  </si>
  <si>
    <t>Air speed U0=</t>
  </si>
  <si>
    <t>m/s</t>
  </si>
  <si>
    <t>Cc</t>
  </si>
  <si>
    <t>Stk_f</t>
  </si>
  <si>
    <t>Stk_m=Stk_f/2Y</t>
  </si>
  <si>
    <t>Boltzmann constant k=</t>
  </si>
  <si>
    <t>J/K</t>
  </si>
  <si>
    <t>T=</t>
  </si>
  <si>
    <t>K</t>
  </si>
  <si>
    <t>Dp=(kTC_c)/(3πμdp )</t>
  </si>
  <si>
    <t xml:space="preserve">Pe=(U0 df)/Dp </t>
  </si>
  <si>
    <t>Pe_m</t>
  </si>
  <si>
    <t>η_D=</t>
  </si>
  <si>
    <t>Kn_p</t>
  </si>
  <si>
    <t>η_it</t>
  </si>
  <si>
    <t>η_ip</t>
  </si>
  <si>
    <t>Y=lnα/2-3/4+α-α^2/4=</t>
  </si>
  <si>
    <t>Total single fiber efficiency</t>
  </si>
  <si>
    <t>Filter efficiency</t>
  </si>
  <si>
    <t>Filter configuration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</si>
</sst>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11" fontId="0" fillId="0" borderId="0" xfId="0" applyNumberFormat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0" borderId="0" xfId="0" applyFill="1" applyAlignment="1">
      <alignment horizontal="right"/>
    </xf>
    <xf numFmtId="0" fontId="0" fillId="0" borderId="0" xfId="0" applyFill="1"/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11" fontId="0" fillId="0" borderId="0" xfId="0" applyNumberFormat="1" applyAlignment="1">
      <alignment horizontal="center"/>
    </xf>
    <xf numFmtId="0" fontId="0" fillId="0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5" borderId="0" xfId="0" applyFill="1"/>
    <xf numFmtId="11" fontId="0" fillId="5" borderId="0" xfId="0" applyNumberFormat="1" applyFill="1" applyAlignment="1">
      <alignment horizontal="center"/>
    </xf>
    <xf numFmtId="11" fontId="0" fillId="5" borderId="0" xfId="0" applyNumberFormat="1" applyFill="1"/>
    <xf numFmtId="11" fontId="0" fillId="2" borderId="0" xfId="0" applyNumberFormat="1" applyFill="1"/>
    <xf numFmtId="11" fontId="0" fillId="2" borderId="0" xfId="0" applyNumberFormat="1" applyFill="1" applyAlignment="1">
      <alignment horizontal="center"/>
    </xf>
    <xf numFmtId="11" fontId="0" fillId="3" borderId="0" xfId="0" applyNumberFormat="1" applyFill="1"/>
    <xf numFmtId="0" fontId="1" fillId="0" borderId="0" xfId="0" applyFont="1" applyFill="1" applyAlignment="1">
      <alignment horizontal="right"/>
    </xf>
    <xf numFmtId="11" fontId="0" fillId="0" borderId="0" xfId="0" applyNumberFormat="1" applyFill="1"/>
    <xf numFmtId="0" fontId="0" fillId="6" borderId="0" xfId="0" applyFill="1" applyAlignment="1">
      <alignment horizontal="right"/>
    </xf>
    <xf numFmtId="0" fontId="0" fillId="6" borderId="0" xfId="0" applyFill="1"/>
    <xf numFmtId="0" fontId="1" fillId="6" borderId="0" xfId="0" applyFont="1" applyFill="1" applyAlignment="1">
      <alignment horizontal="right"/>
    </xf>
    <xf numFmtId="0" fontId="2" fillId="6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468421205318812"/>
          <c:y val="6.9910740593478113E-2"/>
          <c:w val="0.79813344393941654"/>
          <c:h val="0.7866104318166135"/>
        </c:manualLayout>
      </c:layout>
      <c:scatterChart>
        <c:scatterStyle val="smoothMarker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η_ip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Sheet1!$E$2:$E$34</c:f>
              <c:numCache>
                <c:formatCode>General</c:formatCode>
                <c:ptCount val="33"/>
                <c:pt idx="0">
                  <c:v>1E-3</c:v>
                </c:pt>
                <c:pt idx="1">
                  <c:v>0.01</c:v>
                </c:pt>
                <c:pt idx="2">
                  <c:v>2.5000000000000001E-2</c:v>
                </c:pt>
                <c:pt idx="3">
                  <c:v>0.05</c:v>
                </c:pt>
                <c:pt idx="4">
                  <c:v>0.1</c:v>
                </c:pt>
                <c:pt idx="5">
                  <c:v>0.15</c:v>
                </c:pt>
                <c:pt idx="6">
                  <c:v>0.2</c:v>
                </c:pt>
                <c:pt idx="7">
                  <c:v>0.3</c:v>
                </c:pt>
                <c:pt idx="8">
                  <c:v>0.4</c:v>
                </c:pt>
                <c:pt idx="9">
                  <c:v>0.5</c:v>
                </c:pt>
                <c:pt idx="10">
                  <c:v>0.6</c:v>
                </c:pt>
                <c:pt idx="11">
                  <c:v>0.7</c:v>
                </c:pt>
                <c:pt idx="12">
                  <c:v>0.8</c:v>
                </c:pt>
                <c:pt idx="13">
                  <c:v>0.9</c:v>
                </c:pt>
                <c:pt idx="14">
                  <c:v>1</c:v>
                </c:pt>
                <c:pt idx="15">
                  <c:v>1.5</c:v>
                </c:pt>
                <c:pt idx="16">
                  <c:v>2</c:v>
                </c:pt>
                <c:pt idx="17">
                  <c:v>2.5</c:v>
                </c:pt>
                <c:pt idx="18">
                  <c:v>3</c:v>
                </c:pt>
                <c:pt idx="19">
                  <c:v>3.5</c:v>
                </c:pt>
                <c:pt idx="20">
                  <c:v>4</c:v>
                </c:pt>
                <c:pt idx="21">
                  <c:v>4.5</c:v>
                </c:pt>
                <c:pt idx="22">
                  <c:v>5</c:v>
                </c:pt>
                <c:pt idx="23">
                  <c:v>5.5</c:v>
                </c:pt>
                <c:pt idx="24">
                  <c:v>6</c:v>
                </c:pt>
                <c:pt idx="25">
                  <c:v>6.5</c:v>
                </c:pt>
                <c:pt idx="26">
                  <c:v>7</c:v>
                </c:pt>
                <c:pt idx="27">
                  <c:v>7.5</c:v>
                </c:pt>
                <c:pt idx="28">
                  <c:v>8</c:v>
                </c:pt>
                <c:pt idx="29">
                  <c:v>8.5</c:v>
                </c:pt>
                <c:pt idx="30">
                  <c:v>9</c:v>
                </c:pt>
                <c:pt idx="31">
                  <c:v>9.5</c:v>
                </c:pt>
                <c:pt idx="32">
                  <c:v>10</c:v>
                </c:pt>
              </c:numCache>
            </c:numRef>
          </c:xVal>
          <c:yVal>
            <c:numRef>
              <c:f>Sheet1!$M$2:$M$34</c:f>
              <c:numCache>
                <c:formatCode>General</c:formatCode>
                <c:ptCount val="33"/>
                <c:pt idx="0">
                  <c:v>1.6641158539068932E-12</c:v>
                </c:pt>
                <c:pt idx="1">
                  <c:v>1.6933457999208424E-9</c:v>
                </c:pt>
                <c:pt idx="2">
                  <c:v>2.7337048836735568E-8</c:v>
                </c:pt>
                <c:pt idx="3">
                  <c:v>2.3188988130088311E-7</c:v>
                </c:pt>
                <c:pt idx="4">
                  <c:v>2.0947694911142362E-6</c:v>
                </c:pt>
                <c:pt idx="5">
                  <c:v>7.9540950872541042E-6</c:v>
                </c:pt>
                <c:pt idx="6">
                  <c:v>2.1035859258231239E-5</c:v>
                </c:pt>
                <c:pt idx="7">
                  <c:v>8.5888192146975619E-5</c:v>
                </c:pt>
                <c:pt idx="8">
                  <c:v>2.3798468454225313E-4</c:v>
                </c:pt>
                <c:pt idx="9">
                  <c:v>5.2872307233814008E-4</c:v>
                </c:pt>
                <c:pt idx="10">
                  <c:v>1.0174478254885411E-3</c:v>
                </c:pt>
                <c:pt idx="11">
                  <c:v>1.7695427142832359E-3</c:v>
                </c:pt>
                <c:pt idx="12">
                  <c:v>2.8546490197280216E-3</c:v>
                </c:pt>
                <c:pt idx="13">
                  <c:v>4.3449504860597768E-3</c:v>
                </c:pt>
                <c:pt idx="14">
                  <c:v>6.3135004142976609E-3</c:v>
                </c:pt>
                <c:pt idx="15">
                  <c:v>2.5743707291808571E-2</c:v>
                </c:pt>
                <c:pt idx="16">
                  <c:v>6.2293987322471718E-2</c:v>
                </c:pt>
                <c:pt idx="17">
                  <c:v>9.5843064915777487E-2</c:v>
                </c:pt>
                <c:pt idx="18">
                  <c:v>0.13658237494171857</c:v>
                </c:pt>
                <c:pt idx="19">
                  <c:v>0.184511917317562</c:v>
                </c:pt>
                <c:pt idx="20">
                  <c:v>0.23963169204170079</c:v>
                </c:pt>
                <c:pt idx="21">
                  <c:v>0.30194169911410484</c:v>
                </c:pt>
                <c:pt idx="22">
                  <c:v>0.37144193853477359</c:v>
                </c:pt>
                <c:pt idx="23">
                  <c:v>0.44813241030370732</c:v>
                </c:pt>
                <c:pt idx="24">
                  <c:v>0.53201311442090593</c:v>
                </c:pt>
                <c:pt idx="25">
                  <c:v>0.62308405088636898</c:v>
                </c:pt>
                <c:pt idx="26">
                  <c:v>0.72134521970009702</c:v>
                </c:pt>
                <c:pt idx="27">
                  <c:v>0.8267966208620896</c:v>
                </c:pt>
                <c:pt idx="28">
                  <c:v>0.9394382543723474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Sheet1!$Q$1</c:f>
              <c:strCache>
                <c:ptCount val="1"/>
                <c:pt idx="0">
                  <c:v>η_D=</c:v>
                </c:pt>
              </c:strCache>
            </c:strRef>
          </c:tx>
          <c:spPr>
            <a:ln>
              <a:solidFill>
                <a:schemeClr val="tx1"/>
              </a:solidFill>
              <a:prstDash val="sysDash"/>
            </a:ln>
          </c:spPr>
          <c:marker>
            <c:symbol val="none"/>
          </c:marker>
          <c:xVal>
            <c:numRef>
              <c:f>Sheet1!$E$2:$E$34</c:f>
              <c:numCache>
                <c:formatCode>General</c:formatCode>
                <c:ptCount val="33"/>
                <c:pt idx="0">
                  <c:v>1E-3</c:v>
                </c:pt>
                <c:pt idx="1">
                  <c:v>0.01</c:v>
                </c:pt>
                <c:pt idx="2">
                  <c:v>2.5000000000000001E-2</c:v>
                </c:pt>
                <c:pt idx="3">
                  <c:v>0.05</c:v>
                </c:pt>
                <c:pt idx="4">
                  <c:v>0.1</c:v>
                </c:pt>
                <c:pt idx="5">
                  <c:v>0.15</c:v>
                </c:pt>
                <c:pt idx="6">
                  <c:v>0.2</c:v>
                </c:pt>
                <c:pt idx="7">
                  <c:v>0.3</c:v>
                </c:pt>
                <c:pt idx="8">
                  <c:v>0.4</c:v>
                </c:pt>
                <c:pt idx="9">
                  <c:v>0.5</c:v>
                </c:pt>
                <c:pt idx="10">
                  <c:v>0.6</c:v>
                </c:pt>
                <c:pt idx="11">
                  <c:v>0.7</c:v>
                </c:pt>
                <c:pt idx="12">
                  <c:v>0.8</c:v>
                </c:pt>
                <c:pt idx="13">
                  <c:v>0.9</c:v>
                </c:pt>
                <c:pt idx="14">
                  <c:v>1</c:v>
                </c:pt>
                <c:pt idx="15">
                  <c:v>1.5</c:v>
                </c:pt>
                <c:pt idx="16">
                  <c:v>2</c:v>
                </c:pt>
                <c:pt idx="17">
                  <c:v>2.5</c:v>
                </c:pt>
                <c:pt idx="18">
                  <c:v>3</c:v>
                </c:pt>
                <c:pt idx="19">
                  <c:v>3.5</c:v>
                </c:pt>
                <c:pt idx="20">
                  <c:v>4</c:v>
                </c:pt>
                <c:pt idx="21">
                  <c:v>4.5</c:v>
                </c:pt>
                <c:pt idx="22">
                  <c:v>5</c:v>
                </c:pt>
                <c:pt idx="23">
                  <c:v>5.5</c:v>
                </c:pt>
                <c:pt idx="24">
                  <c:v>6</c:v>
                </c:pt>
                <c:pt idx="25">
                  <c:v>6.5</c:v>
                </c:pt>
                <c:pt idx="26">
                  <c:v>7</c:v>
                </c:pt>
                <c:pt idx="27">
                  <c:v>7.5</c:v>
                </c:pt>
                <c:pt idx="28">
                  <c:v>8</c:v>
                </c:pt>
                <c:pt idx="29">
                  <c:v>8.5</c:v>
                </c:pt>
                <c:pt idx="30">
                  <c:v>9</c:v>
                </c:pt>
                <c:pt idx="31">
                  <c:v>9.5</c:v>
                </c:pt>
                <c:pt idx="32">
                  <c:v>10</c:v>
                </c:pt>
              </c:numCache>
            </c:numRef>
          </c:xVal>
          <c:yVal>
            <c:numRef>
              <c:f>Sheet1!$Q$2:$Q$34</c:f>
              <c:numCache>
                <c:formatCode>General</c:formatCode>
                <c:ptCount val="33"/>
                <c:pt idx="0">
                  <c:v>1</c:v>
                </c:pt>
                <c:pt idx="1">
                  <c:v>1</c:v>
                </c:pt>
                <c:pt idx="2">
                  <c:v>0.33147995215134629</c:v>
                </c:pt>
                <c:pt idx="3">
                  <c:v>0.13455876064965935</c:v>
                </c:pt>
                <c:pt idx="4">
                  <c:v>5.7807214630221163E-2</c:v>
                </c:pt>
                <c:pt idx="5">
                  <c:v>3.6648948493736191E-2</c:v>
                </c:pt>
                <c:pt idx="6">
                  <c:v>2.7090951949913136E-2</c:v>
                </c:pt>
                <c:pt idx="7">
                  <c:v>1.8251326357674701E-2</c:v>
                </c:pt>
                <c:pt idx="8">
                  <c:v>1.407327611285066E-2</c:v>
                </c:pt>
                <c:pt idx="9">
                  <c:v>1.1617097931566388E-2</c:v>
                </c:pt>
                <c:pt idx="10">
                  <c:v>9.9857669012517625E-3</c:v>
                </c:pt>
                <c:pt idx="11">
                  <c:v>8.8152882674847697E-3</c:v>
                </c:pt>
                <c:pt idx="12">
                  <c:v>7.929764661467411E-3</c:v>
                </c:pt>
                <c:pt idx="13">
                  <c:v>7.2334985447188322E-3</c:v>
                </c:pt>
                <c:pt idx="14">
                  <c:v>6.6697779535114174E-3</c:v>
                </c:pt>
                <c:pt idx="15">
                  <c:v>4.9205298940827617E-3</c:v>
                </c:pt>
                <c:pt idx="16">
                  <c:v>3.9905778007391394E-3</c:v>
                </c:pt>
                <c:pt idx="17">
                  <c:v>3.4016700931844006E-3</c:v>
                </c:pt>
                <c:pt idx="18">
                  <c:v>2.9900960560890356E-3</c:v>
                </c:pt>
                <c:pt idx="19">
                  <c:v>2.6836103633437547E-3</c:v>
                </c:pt>
                <c:pt idx="20">
                  <c:v>2.4450374917187839E-3</c:v>
                </c:pt>
                <c:pt idx="21">
                  <c:v>2.2531518619777198E-3</c:v>
                </c:pt>
                <c:pt idx="22">
                  <c:v>2.0948857672843028E-3</c:v>
                </c:pt>
                <c:pt idx="23">
                  <c:v>1.9617196199095514E-3</c:v>
                </c:pt>
                <c:pt idx="24">
                  <c:v>1.8478429600810539E-3</c:v>
                </c:pt>
                <c:pt idx="25">
                  <c:v>1.7491460401696799E-3</c:v>
                </c:pt>
                <c:pt idx="26">
                  <c:v>1.6626333714914057E-3</c:v>
                </c:pt>
                <c:pt idx="27">
                  <c:v>1.586065852368381E-3</c:v>
                </c:pt>
                <c:pt idx="28">
                  <c:v>1.5177334350037919E-3</c:v>
                </c:pt>
                <c:pt idx="29">
                  <c:v>1.4563057145682025E-3</c:v>
                </c:pt>
                <c:pt idx="30">
                  <c:v>1.4007308177613183E-3</c:v>
                </c:pt>
                <c:pt idx="31">
                  <c:v>1.35016521739532E-3</c:v>
                </c:pt>
                <c:pt idx="32">
                  <c:v>1.3039239169512519E-3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Sheet1!$R$1</c:f>
              <c:strCache>
                <c:ptCount val="1"/>
                <c:pt idx="0">
                  <c:v>η_it</c:v>
                </c:pt>
              </c:strCache>
            </c:strRef>
          </c:tx>
          <c:spPr>
            <a:ln>
              <a:solidFill>
                <a:schemeClr val="tx1"/>
              </a:solidFill>
              <a:prstDash val="lgDash"/>
            </a:ln>
          </c:spPr>
          <c:marker>
            <c:symbol val="none"/>
          </c:marker>
          <c:xVal>
            <c:numRef>
              <c:f>Sheet1!$E$2:$E$34</c:f>
              <c:numCache>
                <c:formatCode>General</c:formatCode>
                <c:ptCount val="33"/>
                <c:pt idx="0">
                  <c:v>1E-3</c:v>
                </c:pt>
                <c:pt idx="1">
                  <c:v>0.01</c:v>
                </c:pt>
                <c:pt idx="2">
                  <c:v>2.5000000000000001E-2</c:v>
                </c:pt>
                <c:pt idx="3">
                  <c:v>0.05</c:v>
                </c:pt>
                <c:pt idx="4">
                  <c:v>0.1</c:v>
                </c:pt>
                <c:pt idx="5">
                  <c:v>0.15</c:v>
                </c:pt>
                <c:pt idx="6">
                  <c:v>0.2</c:v>
                </c:pt>
                <c:pt idx="7">
                  <c:v>0.3</c:v>
                </c:pt>
                <c:pt idx="8">
                  <c:v>0.4</c:v>
                </c:pt>
                <c:pt idx="9">
                  <c:v>0.5</c:v>
                </c:pt>
                <c:pt idx="10">
                  <c:v>0.6</c:v>
                </c:pt>
                <c:pt idx="11">
                  <c:v>0.7</c:v>
                </c:pt>
                <c:pt idx="12">
                  <c:v>0.8</c:v>
                </c:pt>
                <c:pt idx="13">
                  <c:v>0.9</c:v>
                </c:pt>
                <c:pt idx="14">
                  <c:v>1</c:v>
                </c:pt>
                <c:pt idx="15">
                  <c:v>1.5</c:v>
                </c:pt>
                <c:pt idx="16">
                  <c:v>2</c:v>
                </c:pt>
                <c:pt idx="17">
                  <c:v>2.5</c:v>
                </c:pt>
                <c:pt idx="18">
                  <c:v>3</c:v>
                </c:pt>
                <c:pt idx="19">
                  <c:v>3.5</c:v>
                </c:pt>
                <c:pt idx="20">
                  <c:v>4</c:v>
                </c:pt>
                <c:pt idx="21">
                  <c:v>4.5</c:v>
                </c:pt>
                <c:pt idx="22">
                  <c:v>5</c:v>
                </c:pt>
                <c:pt idx="23">
                  <c:v>5.5</c:v>
                </c:pt>
                <c:pt idx="24">
                  <c:v>6</c:v>
                </c:pt>
                <c:pt idx="25">
                  <c:v>6.5</c:v>
                </c:pt>
                <c:pt idx="26">
                  <c:v>7</c:v>
                </c:pt>
                <c:pt idx="27">
                  <c:v>7.5</c:v>
                </c:pt>
                <c:pt idx="28">
                  <c:v>8</c:v>
                </c:pt>
                <c:pt idx="29">
                  <c:v>8.5</c:v>
                </c:pt>
                <c:pt idx="30">
                  <c:v>9</c:v>
                </c:pt>
                <c:pt idx="31">
                  <c:v>9.5</c:v>
                </c:pt>
                <c:pt idx="32">
                  <c:v>10</c:v>
                </c:pt>
              </c:numCache>
            </c:numRef>
          </c:xVal>
          <c:yVal>
            <c:numRef>
              <c:f>Sheet1!$R$2:$R$34</c:f>
              <c:numCache>
                <c:formatCode>General</c:formatCode>
                <c:ptCount val="33"/>
                <c:pt idx="0">
                  <c:v>1.2931555876343448E-6</c:v>
                </c:pt>
                <c:pt idx="1">
                  <c:v>1.2915586209236979E-4</c:v>
                </c:pt>
                <c:pt idx="2">
                  <c:v>8.0556749584679991E-4</c:v>
                </c:pt>
                <c:pt idx="3">
                  <c:v>3.2113012645802763E-3</c:v>
                </c:pt>
                <c:pt idx="4">
                  <c:v>1.2758569900175468E-2</c:v>
                </c:pt>
                <c:pt idx="5">
                  <c:v>2.8515120487200913E-2</c:v>
                </c:pt>
                <c:pt idx="6">
                  <c:v>5.0358466236828332E-2</c:v>
                </c:pt>
                <c:pt idx="7">
                  <c:v>0.11183547069494344</c:v>
                </c:pt>
                <c:pt idx="8">
                  <c:v>0.1962867648512393</c:v>
                </c:pt>
                <c:pt idx="9">
                  <c:v>0.30286568373433609</c:v>
                </c:pt>
                <c:pt idx="10">
                  <c:v>0.43077701336621427</c:v>
                </c:pt>
                <c:pt idx="11">
                  <c:v>0.57927276676499062</c:v>
                </c:pt>
                <c:pt idx="12">
                  <c:v>0.74764838181461202</c:v>
                </c:pt>
                <c:pt idx="13">
                  <c:v>0.9352392919822915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3243520"/>
        <c:axId val="123245696"/>
      </c:scatterChart>
      <c:valAx>
        <c:axId val="123243520"/>
        <c:scaling>
          <c:logBase val="10"/>
          <c:orientation val="minMax"/>
          <c:min val="1.0000000000000002E-2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Particle aerodynamic diameter, micrometer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23245696"/>
        <c:crossesAt val="-0.2"/>
        <c:crossBetween val="midCat"/>
      </c:valAx>
      <c:valAx>
        <c:axId val="123245696"/>
        <c:scaling>
          <c:orientation val="minMax"/>
          <c:max val="1"/>
          <c:min val="0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Single mechanism efficiency</a:t>
                </a:r>
              </a:p>
            </c:rich>
          </c:tx>
          <c:layout>
            <c:manualLayout>
              <c:xMode val="edge"/>
              <c:yMode val="edge"/>
              <c:x val="1.6196329456631936E-2"/>
              <c:y val="0.21811738281556467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crossAx val="123243520"/>
        <c:crossesAt val="1.0000000000000002E-3"/>
        <c:crossBetween val="midCat"/>
      </c:valAx>
      <c:spPr>
        <a:ln>
          <a:solidFill>
            <a:schemeClr val="accent1"/>
          </a:solidFill>
        </a:ln>
      </c:spPr>
    </c:plotArea>
    <c:plotVisOnly val="1"/>
    <c:dispBlanksAs val="gap"/>
    <c:showDLblsOverMax val="0"/>
  </c:chart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730067709438784"/>
          <c:y val="6.9910740593478113E-2"/>
          <c:w val="0.82551715782502666"/>
          <c:h val="0.7866104318166135"/>
        </c:manualLayout>
      </c:layout>
      <c:scatterChart>
        <c:scatterStyle val="smoothMarker"/>
        <c:varyColors val="0"/>
        <c:ser>
          <c:idx val="2"/>
          <c:order val="0"/>
          <c:tx>
            <c:strRef>
              <c:f>Sheet1!$T$1</c:f>
              <c:strCache>
                <c:ptCount val="1"/>
                <c:pt idx="0">
                  <c:v>Filter efficiency</c:v>
                </c:pt>
              </c:strCache>
            </c:strRef>
          </c:tx>
          <c:marker>
            <c:symbol val="none"/>
          </c:marker>
          <c:xVal>
            <c:numRef>
              <c:f>Sheet1!$E$2:$E$34</c:f>
              <c:numCache>
                <c:formatCode>General</c:formatCode>
                <c:ptCount val="33"/>
                <c:pt idx="0">
                  <c:v>1E-3</c:v>
                </c:pt>
                <c:pt idx="1">
                  <c:v>0.01</c:v>
                </c:pt>
                <c:pt idx="2">
                  <c:v>2.5000000000000001E-2</c:v>
                </c:pt>
                <c:pt idx="3">
                  <c:v>0.05</c:v>
                </c:pt>
                <c:pt idx="4">
                  <c:v>0.1</c:v>
                </c:pt>
                <c:pt idx="5">
                  <c:v>0.15</c:v>
                </c:pt>
                <c:pt idx="6">
                  <c:v>0.2</c:v>
                </c:pt>
                <c:pt idx="7">
                  <c:v>0.3</c:v>
                </c:pt>
                <c:pt idx="8">
                  <c:v>0.4</c:v>
                </c:pt>
                <c:pt idx="9">
                  <c:v>0.5</c:v>
                </c:pt>
                <c:pt idx="10">
                  <c:v>0.6</c:v>
                </c:pt>
                <c:pt idx="11">
                  <c:v>0.7</c:v>
                </c:pt>
                <c:pt idx="12">
                  <c:v>0.8</c:v>
                </c:pt>
                <c:pt idx="13">
                  <c:v>0.9</c:v>
                </c:pt>
                <c:pt idx="14">
                  <c:v>1</c:v>
                </c:pt>
                <c:pt idx="15">
                  <c:v>1.5</c:v>
                </c:pt>
                <c:pt idx="16">
                  <c:v>2</c:v>
                </c:pt>
                <c:pt idx="17">
                  <c:v>2.5</c:v>
                </c:pt>
                <c:pt idx="18">
                  <c:v>3</c:v>
                </c:pt>
                <c:pt idx="19">
                  <c:v>3.5</c:v>
                </c:pt>
                <c:pt idx="20">
                  <c:v>4</c:v>
                </c:pt>
                <c:pt idx="21">
                  <c:v>4.5</c:v>
                </c:pt>
                <c:pt idx="22">
                  <c:v>5</c:v>
                </c:pt>
                <c:pt idx="23">
                  <c:v>5.5</c:v>
                </c:pt>
                <c:pt idx="24">
                  <c:v>6</c:v>
                </c:pt>
                <c:pt idx="25">
                  <c:v>6.5</c:v>
                </c:pt>
                <c:pt idx="26">
                  <c:v>7</c:v>
                </c:pt>
                <c:pt idx="27">
                  <c:v>7.5</c:v>
                </c:pt>
                <c:pt idx="28">
                  <c:v>8</c:v>
                </c:pt>
                <c:pt idx="29">
                  <c:v>8.5</c:v>
                </c:pt>
                <c:pt idx="30">
                  <c:v>9</c:v>
                </c:pt>
                <c:pt idx="31">
                  <c:v>9.5</c:v>
                </c:pt>
                <c:pt idx="32">
                  <c:v>10</c:v>
                </c:pt>
              </c:numCache>
            </c:numRef>
          </c:xVal>
          <c:yVal>
            <c:numRef>
              <c:f>Sheet1!$T$2:$T$34</c:f>
              <c:numCache>
                <c:formatCode>General</c:formatCode>
                <c:ptCount val="33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0.99999999959725006</c:v>
                </c:pt>
                <c:pt idx="4">
                  <c:v>0.99998328569035444</c:v>
                </c:pt>
                <c:pt idx="5">
                  <c:v>0.99995895439387184</c:v>
                </c:pt>
                <c:pt idx="6">
                  <c:v>0.99999377882716578</c:v>
                </c:pt>
                <c:pt idx="7">
                  <c:v>0.99999999827975805</c:v>
                </c:pt>
                <c:pt idx="8">
                  <c:v>0.99999999999999389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3271040"/>
        <c:axId val="122486784"/>
      </c:scatterChart>
      <c:valAx>
        <c:axId val="123271040"/>
        <c:scaling>
          <c:logBase val="10"/>
          <c:orientation val="minMax"/>
          <c:max val="1"/>
          <c:min val="1.0000000000000002E-2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Particle aerodynamic diameter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22486784"/>
        <c:crossesAt val="-0.2"/>
        <c:crossBetween val="midCat"/>
        <c:majorUnit val="10"/>
      </c:valAx>
      <c:valAx>
        <c:axId val="122486784"/>
        <c:scaling>
          <c:orientation val="minMax"/>
          <c:max val="1"/>
          <c:min val="0.9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Filtration</a:t>
                </a:r>
                <a:r>
                  <a:rPr lang="en-US" baseline="0"/>
                  <a:t> </a:t>
                </a:r>
                <a:r>
                  <a:rPr lang="en-US"/>
                  <a:t>efficiency</a:t>
                </a:r>
              </a:p>
            </c:rich>
          </c:tx>
          <c:layout>
            <c:manualLayout>
              <c:xMode val="edge"/>
              <c:yMode val="edge"/>
              <c:x val="1.6196338242943253E-2"/>
              <c:y val="0.23946856204618619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crossAx val="123271040"/>
        <c:crossesAt val="1.0000000000000002E-3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chart" Target="../charts/chart2.xml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1079500</xdr:colOff>
      <xdr:row>15</xdr:row>
      <xdr:rowOff>133350</xdr:rowOff>
    </xdr:from>
    <xdr:to>
      <xdr:col>1</xdr:col>
      <xdr:colOff>533400</xdr:colOff>
      <xdr:row>17</xdr:row>
      <xdr:rowOff>165100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9500" y="1974850"/>
          <a:ext cx="1060450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13</xdr:row>
      <xdr:rowOff>114300</xdr:rowOff>
    </xdr:from>
    <xdr:to>
      <xdr:col>2</xdr:col>
      <xdr:colOff>412750</xdr:colOff>
      <xdr:row>15</xdr:row>
      <xdr:rowOff>95250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87500"/>
          <a:ext cx="2628900" cy="34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120355</xdr:colOff>
      <xdr:row>3</xdr:row>
      <xdr:rowOff>2037</xdr:rowOff>
    </xdr:from>
    <xdr:to>
      <xdr:col>11</xdr:col>
      <xdr:colOff>388472</xdr:colOff>
      <xdr:row>22</xdr:row>
      <xdr:rowOff>22411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4168588</xdr:colOff>
      <xdr:row>7</xdr:row>
      <xdr:rowOff>134472</xdr:rowOff>
    </xdr:from>
    <xdr:to>
      <xdr:col>18</xdr:col>
      <xdr:colOff>2277410</xdr:colOff>
      <xdr:row>9</xdr:row>
      <xdr:rowOff>178922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88941" y="1441825"/>
          <a:ext cx="2292351" cy="4179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156883</xdr:colOff>
      <xdr:row>22</xdr:row>
      <xdr:rowOff>149411</xdr:rowOff>
    </xdr:from>
    <xdr:to>
      <xdr:col>11</xdr:col>
      <xdr:colOff>364072</xdr:colOff>
      <xdr:row>42</xdr:row>
      <xdr:rowOff>65945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oneCellAnchor>
    <xdr:from>
      <xdr:col>7</xdr:col>
      <xdr:colOff>37352</xdr:colOff>
      <xdr:row>31</xdr:row>
      <xdr:rowOff>119529</xdr:rowOff>
    </xdr:from>
    <xdr:ext cx="1361655" cy="264560"/>
    <xdr:sp macro="" textlink="">
      <xdr:nvSpPr>
        <xdr:cNvPr id="6" name="TextBox 5"/>
        <xdr:cNvSpPr txBox="1"/>
      </xdr:nvSpPr>
      <xdr:spPr>
        <a:xfrm>
          <a:off x="5005293" y="5909235"/>
          <a:ext cx="1361655" cy="264560"/>
        </a:xfrm>
        <a:prstGeom prst="rect">
          <a:avLst/>
        </a:prstGeom>
        <a:solidFill>
          <a:schemeClr val="accent2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Total filter efficiency</a:t>
          </a:r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0.76021</cdr:x>
      <cdr:y>0.10431</cdr:y>
    </cdr:from>
    <cdr:to>
      <cdr:x>0.9268</cdr:x>
      <cdr:y>0.18409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3878285" y="372259"/>
          <a:ext cx="849873" cy="28472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/>
            <a:t>Impaction</a:t>
          </a:r>
        </a:p>
      </cdr:txBody>
    </cdr:sp>
  </cdr:relSizeAnchor>
  <cdr:relSizeAnchor xmlns:cdr="http://schemas.openxmlformats.org/drawingml/2006/chartDrawing">
    <cdr:from>
      <cdr:x>0.49649</cdr:x>
      <cdr:y>0.10678</cdr:y>
    </cdr:from>
    <cdr:to>
      <cdr:x>0.66308</cdr:x>
      <cdr:y>0.18657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2532909" y="381071"/>
          <a:ext cx="849874" cy="28476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/>
            <a:t>Interception</a:t>
          </a:r>
        </a:p>
      </cdr:txBody>
    </cdr:sp>
  </cdr:relSizeAnchor>
  <cdr:relSizeAnchor xmlns:cdr="http://schemas.openxmlformats.org/drawingml/2006/chartDrawing">
    <cdr:from>
      <cdr:x>0.20991</cdr:x>
      <cdr:y>0.10863</cdr:y>
    </cdr:from>
    <cdr:to>
      <cdr:x>0.3765</cdr:x>
      <cdr:y>0.18841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1070854" y="387705"/>
          <a:ext cx="849874" cy="28472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/>
            <a:t>Diffusion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4"/>
  <sheetViews>
    <sheetView tabSelected="1" topLeftCell="A4" zoomScale="85" zoomScaleNormal="85" workbookViewId="0">
      <selection activeCell="B6" sqref="B6"/>
    </sheetView>
  </sheetViews>
  <sheetFormatPr defaultRowHeight="14.5" x14ac:dyDescent="0.35"/>
  <cols>
    <col min="1" max="1" width="23" bestFit="1" customWidth="1"/>
    <col min="4" max="4" width="2.26953125" style="4" customWidth="1"/>
    <col min="6" max="6" width="10.81640625" customWidth="1"/>
    <col min="7" max="7" width="8.7265625" customWidth="1"/>
    <col min="8" max="8" width="6.453125" customWidth="1"/>
    <col min="9" max="9" width="11.81640625" customWidth="1"/>
    <col min="10" max="10" width="8.7265625" customWidth="1"/>
    <col min="11" max="11" width="13.81640625" customWidth="1"/>
    <col min="12" max="12" width="28.54296875" style="8" customWidth="1"/>
    <col min="13" max="13" width="21.453125" style="3" bestFit="1" customWidth="1"/>
    <col min="14" max="14" width="20.453125" style="12" customWidth="1"/>
    <col min="15" max="15" width="13.26953125" style="13" customWidth="1"/>
    <col min="16" max="16" width="8.7265625" style="13" customWidth="1"/>
    <col min="17" max="17" width="30.54296875" style="13" bestFit="1" customWidth="1"/>
    <col min="18" max="18" width="59.81640625" style="11" bestFit="1" customWidth="1"/>
    <col min="19" max="19" width="53.81640625" style="11" customWidth="1"/>
    <col min="20" max="20" width="13.453125" bestFit="1" customWidth="1"/>
  </cols>
  <sheetData>
    <row r="1" spans="1:22" x14ac:dyDescent="0.35">
      <c r="A1" s="24" t="s">
        <v>33</v>
      </c>
      <c r="B1" s="22"/>
      <c r="C1" s="22"/>
      <c r="E1" s="2" t="s">
        <v>0</v>
      </c>
      <c r="F1" s="2" t="s">
        <v>1</v>
      </c>
      <c r="G1" s="2" t="s">
        <v>7</v>
      </c>
      <c r="H1" s="7" t="s">
        <v>27</v>
      </c>
      <c r="I1" s="7" t="s">
        <v>16</v>
      </c>
      <c r="J1" s="2" t="s">
        <v>17</v>
      </c>
      <c r="K1" s="2" t="s">
        <v>18</v>
      </c>
      <c r="L1" s="7" t="s">
        <v>13</v>
      </c>
      <c r="M1" s="11" t="s">
        <v>29</v>
      </c>
      <c r="N1" s="12" t="s">
        <v>23</v>
      </c>
      <c r="O1" s="13" t="s">
        <v>24</v>
      </c>
      <c r="P1" s="13" t="s">
        <v>25</v>
      </c>
      <c r="Q1" s="12" t="s">
        <v>26</v>
      </c>
      <c r="R1" s="11" t="s">
        <v>28</v>
      </c>
      <c r="S1" s="11" t="s">
        <v>31</v>
      </c>
      <c r="T1" s="2" t="s">
        <v>32</v>
      </c>
      <c r="U1" s="2"/>
      <c r="V1" s="2"/>
    </row>
    <row r="2" spans="1:22" x14ac:dyDescent="0.35">
      <c r="A2" s="22"/>
      <c r="B2" s="22"/>
      <c r="C2" s="22"/>
      <c r="E2">
        <v>1E-3</v>
      </c>
      <c r="F2">
        <f>E2*0.000001</f>
        <v>1.0000000000000001E-9</v>
      </c>
      <c r="G2">
        <f t="shared" ref="G2:G34" si="0">E2/$B$3</f>
        <v>2.0000000000000001E-4</v>
      </c>
      <c r="H2" s="6">
        <f t="shared" ref="H2:H34" si="1">2*$B$13/E2</f>
        <v>132</v>
      </c>
      <c r="I2" s="6">
        <f>1+H2*(1.257+0.4*EXP(-1.1/H2))</f>
        <v>219.28582825133265</v>
      </c>
      <c r="J2" s="1">
        <f t="shared" ref="J2:J34" si="2">1000*F2*F2*I2*$B$5/(18*$B$12*$B$3*0.000001)</f>
        <v>6.7306884055043818E-6</v>
      </c>
      <c r="K2" s="9">
        <f t="shared" ref="K2:K34" si="3">J2/(2*$B$11)</f>
        <v>3.2576654947377066E-6</v>
      </c>
      <c r="L2" s="10">
        <f t="shared" ref="L2:L17" si="4">(29.6-28*$B$6^0.62)*G2^2-27.5*G2^2.8</f>
        <v>1.0554315393543038E-6</v>
      </c>
      <c r="M2" s="11">
        <f>IF(L2*K2/(2*$B$11)&lt;1,L2*K2/(2*$B$11),1)</f>
        <v>1.6641158539068932E-12</v>
      </c>
      <c r="N2" s="14">
        <f t="shared" ref="N2:N34" si="5">$B$19*$B$20*I2/(3*PI()*$B$12*F2)</f>
        <v>5.1976564436612522E-6</v>
      </c>
      <c r="O2" s="15">
        <f t="shared" ref="O2:O34" si="6">$B$5*$B$3*0.000001/N2</f>
        <v>4.8098600342253266E-2</v>
      </c>
      <c r="P2" s="15">
        <f t="shared" ref="P2:P34" si="7">O2/(2*$B$11)</f>
        <v>2.32798105097239E-2</v>
      </c>
      <c r="Q2" s="13">
        <f>IF((3.65*(P2)^(-2/3)+0.624/P2)/(2*$B$11)&lt;1,(3.65*(P2)^(-2/3)+0.624/P2)/(2*$B$11),1)</f>
        <v>1</v>
      </c>
      <c r="R2" s="11">
        <f>IF(((1+G2)/(2*$B$6))*(2*LN(1+G2)-(1-$B$6)+(1-$B$6*0.5)/(1+G2)^2-0.5*$B$6*(1+G2)^2)&lt;1, ((1+G2)/(2*$B$6))*(2*LN(1+G2)-(1-$B$6)+(1-$B$6*0.5)/(1+G2)^2-0.5*$B$6*(1+G2)^2),1)</f>
        <v>1.2931555876343448E-6</v>
      </c>
      <c r="S2" s="11">
        <f t="shared" ref="S2:S34" si="8">1-(1-R2)*(1-Q2)*(1-M2)</f>
        <v>1</v>
      </c>
      <c r="T2">
        <f t="shared" ref="T2:T34" si="9">1-EXP(-S2*4*$B$6*$B$4*0.01/((1-$B$6)*PI()*$B$3*0.000001))</f>
        <v>1</v>
      </c>
    </row>
    <row r="3" spans="1:22" x14ac:dyDescent="0.35">
      <c r="A3" s="21" t="s">
        <v>5</v>
      </c>
      <c r="B3" s="22">
        <v>5</v>
      </c>
      <c r="C3" s="22" t="s">
        <v>2</v>
      </c>
      <c r="E3">
        <v>0.01</v>
      </c>
      <c r="F3">
        <f t="shared" ref="F3:F4" si="10">E3*0.000001</f>
        <v>1E-8</v>
      </c>
      <c r="G3">
        <f t="shared" si="0"/>
        <v>2E-3</v>
      </c>
      <c r="H3" s="6">
        <f t="shared" si="1"/>
        <v>13.200000000000001</v>
      </c>
      <c r="I3" s="6">
        <f t="shared" ref="I3:I4" si="11">1+H3*(1.257+0.4*EXP(-1.1/H3))</f>
        <v>22.450234509242829</v>
      </c>
      <c r="J3" s="1">
        <f t="shared" si="2"/>
        <v>6.8908024890248105E-5</v>
      </c>
      <c r="K3" s="9">
        <f t="shared" si="3"/>
        <v>3.3351610039161567E-5</v>
      </c>
      <c r="L3" s="10">
        <f t="shared" si="4"/>
        <v>1.0490153626772339E-4</v>
      </c>
      <c r="M3" s="11">
        <f t="shared" ref="M3:M34" si="12">IF(L3*K3/(2*$B$11)&lt;1,L3*K3/(2*$B$11),1)</f>
        <v>1.6933457999208424E-9</v>
      </c>
      <c r="N3" s="14">
        <f t="shared" si="5"/>
        <v>5.3213017452696736E-8</v>
      </c>
      <c r="O3" s="15">
        <f t="shared" si="6"/>
        <v>4.6980985474510142</v>
      </c>
      <c r="P3" s="15">
        <f t="shared" si="7"/>
        <v>2.2738882870275439</v>
      </c>
      <c r="Q3" s="13">
        <f t="shared" ref="Q3:Q34" si="13">IF((3.65*(P3)^(-2/3)+0.624/P3)/(2*$B$11)&lt;1,(3.65*(P3)^(-2/3)+0.624/P3)/(2*$B$11),1)</f>
        <v>1</v>
      </c>
      <c r="R3" s="11">
        <f>IF(((1+G3)/(2*$B$6))*(2*LN(1+G3)-(1-$B$6)+(1-$B$6*0.5)/(1+G3)^2-0.5*$B$6*(1+G3)^2)&lt;1, ((1+G3)/(2*$B$6))*(2*LN(1+G3)-(1-$B$6)+(1-$B$6*0.5)/(1+G3)^2-0.5*$B$6*(1+G3)^2),1)</f>
        <v>1.2915586209236979E-4</v>
      </c>
      <c r="S3" s="11">
        <f t="shared" si="8"/>
        <v>1</v>
      </c>
      <c r="T3">
        <f t="shared" si="9"/>
        <v>1</v>
      </c>
    </row>
    <row r="4" spans="1:22" x14ac:dyDescent="0.35">
      <c r="A4" s="21" t="s">
        <v>3</v>
      </c>
      <c r="B4" s="22">
        <v>2</v>
      </c>
      <c r="C4" s="22" t="s">
        <v>4</v>
      </c>
      <c r="E4">
        <v>2.5000000000000001E-2</v>
      </c>
      <c r="F4">
        <f t="shared" si="10"/>
        <v>2.4999999999999999E-8</v>
      </c>
      <c r="G4">
        <f t="shared" si="0"/>
        <v>5.0000000000000001E-3</v>
      </c>
      <c r="H4" s="6">
        <f t="shared" si="1"/>
        <v>5.28</v>
      </c>
      <c r="I4" s="6">
        <f t="shared" si="11"/>
        <v>9.3517695630701407</v>
      </c>
      <c r="J4" s="1">
        <f t="shared" si="2"/>
        <v>1.7940012206626269E-4</v>
      </c>
      <c r="K4" s="9">
        <f t="shared" si="3"/>
        <v>8.6829987097464088E-5</v>
      </c>
      <c r="L4" s="10">
        <f t="shared" si="4"/>
        <v>6.504814106168507E-4</v>
      </c>
      <c r="M4" s="11">
        <f t="shared" si="12"/>
        <v>2.7337048836735568E-8</v>
      </c>
      <c r="N4" s="14">
        <f t="shared" si="5"/>
        <v>8.8664708917560973E-9</v>
      </c>
      <c r="O4" s="15">
        <f t="shared" si="6"/>
        <v>28.196111288477358</v>
      </c>
      <c r="P4" s="15">
        <f t="shared" si="7"/>
        <v>13.646969417740227</v>
      </c>
      <c r="Q4" s="13">
        <f t="shared" si="13"/>
        <v>0.33147995215134629</v>
      </c>
      <c r="R4" s="11">
        <f t="shared" ref="R4:R20" si="14">IF(((1+G4)/(2*$B$6))*(2*LN(1+G4)-(1-$B$6)+(1-$B$6*0.5)/(1+G4)^2-0.5*$B$6*(1+G4)^2)&lt;1, ((1+G4)/(2*$B$6))*(2*LN(1+G4)-(1-$B$6)+(1-$B$6*0.5)/(1+G4)^2-0.5*$B$6*(1+G4)^2),1)</f>
        <v>8.0556749584679991E-4</v>
      </c>
      <c r="S4" s="11">
        <f t="shared" si="8"/>
        <v>0.33201850843285818</v>
      </c>
      <c r="T4">
        <f t="shared" si="9"/>
        <v>1</v>
      </c>
    </row>
    <row r="5" spans="1:22" x14ac:dyDescent="0.35">
      <c r="A5" s="23" t="s">
        <v>14</v>
      </c>
      <c r="B5" s="22">
        <v>0.05</v>
      </c>
      <c r="C5" s="22" t="s">
        <v>15</v>
      </c>
      <c r="E5">
        <v>0.05</v>
      </c>
      <c r="F5">
        <f t="shared" ref="F5:F34" si="15">E5*0.000001</f>
        <v>4.9999999999999998E-8</v>
      </c>
      <c r="G5">
        <f t="shared" si="0"/>
        <v>0.01</v>
      </c>
      <c r="H5" s="6">
        <f t="shared" si="1"/>
        <v>2.64</v>
      </c>
      <c r="I5" s="6">
        <f t="shared" ref="I5:I34" si="16">1+H5*(1.257+0.4*EXP(-1.1/H5))</f>
        <v>5.0146381054916684</v>
      </c>
      <c r="J5" s="1">
        <f t="shared" si="2"/>
        <v>3.8479420698984566E-4</v>
      </c>
      <c r="K5" s="9">
        <f t="shared" si="3"/>
        <v>1.8624109974555307E-4</v>
      </c>
      <c r="L5" s="10">
        <f t="shared" si="4"/>
        <v>2.572523013013338E-3</v>
      </c>
      <c r="M5" s="11">
        <f t="shared" si="12"/>
        <v>2.3188988130088311E-7</v>
      </c>
      <c r="N5" s="14">
        <f t="shared" si="5"/>
        <v>2.3772047897016468E-9</v>
      </c>
      <c r="O5" s="15">
        <f t="shared" si="6"/>
        <v>105.16552931536725</v>
      </c>
      <c r="P5" s="15">
        <f t="shared" si="7"/>
        <v>50.900308474586922</v>
      </c>
      <c r="Q5" s="13">
        <f t="shared" si="13"/>
        <v>0.13455876064965935</v>
      </c>
      <c r="R5" s="11">
        <f t="shared" si="14"/>
        <v>3.2113012645802763E-3</v>
      </c>
      <c r="S5" s="11">
        <f t="shared" si="8"/>
        <v>0.13733815323860454</v>
      </c>
      <c r="T5">
        <f t="shared" si="9"/>
        <v>0.99999999959725006</v>
      </c>
    </row>
    <row r="6" spans="1:22" x14ac:dyDescent="0.35">
      <c r="A6" s="21" t="s">
        <v>10</v>
      </c>
      <c r="B6" s="22">
        <v>0.03</v>
      </c>
      <c r="C6" s="22" t="s">
        <v>11</v>
      </c>
      <c r="E6">
        <v>0.1</v>
      </c>
      <c r="F6">
        <f t="shared" si="15"/>
        <v>9.9999999999999995E-8</v>
      </c>
      <c r="G6">
        <f t="shared" si="0"/>
        <v>0.02</v>
      </c>
      <c r="H6" s="6">
        <f t="shared" si="1"/>
        <v>1.32</v>
      </c>
      <c r="I6" s="6">
        <f t="shared" si="16"/>
        <v>2.888707854091737</v>
      </c>
      <c r="J6" s="1">
        <f t="shared" si="2"/>
        <v>8.8665066116996232E-4</v>
      </c>
      <c r="K6" s="9">
        <f t="shared" si="3"/>
        <v>4.2914054116925194E-4</v>
      </c>
      <c r="L6" s="10">
        <f t="shared" si="4"/>
        <v>1.0085320246984364E-2</v>
      </c>
      <c r="M6" s="11">
        <f t="shared" si="12"/>
        <v>2.0947694911142362E-6</v>
      </c>
      <c r="N6" s="14">
        <f t="shared" si="5"/>
        <v>6.8470047113423259E-10</v>
      </c>
      <c r="O6" s="15">
        <f t="shared" si="6"/>
        <v>365.1231604760917</v>
      </c>
      <c r="P6" s="15">
        <f t="shared" si="7"/>
        <v>176.72027726611239</v>
      </c>
      <c r="Q6" s="13">
        <f t="shared" si="13"/>
        <v>5.7807214630221163E-2</v>
      </c>
      <c r="R6" s="11">
        <f t="shared" si="14"/>
        <v>1.2758569900175468E-2</v>
      </c>
      <c r="S6" s="11">
        <f t="shared" si="8"/>
        <v>6.9830195637211823E-2</v>
      </c>
      <c r="T6">
        <f t="shared" si="9"/>
        <v>0.99998328569035444</v>
      </c>
    </row>
    <row r="7" spans="1:22" x14ac:dyDescent="0.35">
      <c r="E7">
        <v>0.15</v>
      </c>
      <c r="F7">
        <f t="shared" si="15"/>
        <v>1.4999999999999999E-7</v>
      </c>
      <c r="G7">
        <f t="shared" si="0"/>
        <v>0.03</v>
      </c>
      <c r="H7" s="6">
        <f t="shared" si="1"/>
        <v>0.88000000000000012</v>
      </c>
      <c r="I7" s="6">
        <f t="shared" ref="I7" si="17">1+H7*(1.257+0.4*EXP(-1.1/H7))</f>
        <v>2.2070096884947867</v>
      </c>
      <c r="J7" s="1">
        <f t="shared" si="2"/>
        <v>1.5241779616676704E-3</v>
      </c>
      <c r="K7" s="9">
        <f t="shared" si="3"/>
        <v>7.3770492027291164E-4</v>
      </c>
      <c r="L7" s="10">
        <f t="shared" si="4"/>
        <v>2.2277225248450369E-2</v>
      </c>
      <c r="M7" s="11">
        <f t="shared" si="12"/>
        <v>7.9540950872541042E-6</v>
      </c>
      <c r="N7" s="14">
        <f t="shared" si="5"/>
        <v>3.4874660224979769E-10</v>
      </c>
      <c r="O7" s="15">
        <f t="shared" si="6"/>
        <v>716.8528621848244</v>
      </c>
      <c r="P7" s="15">
        <f t="shared" si="7"/>
        <v>346.95809600005805</v>
      </c>
      <c r="Q7" s="13">
        <f t="shared" si="13"/>
        <v>3.6648948493736191E-2</v>
      </c>
      <c r="R7" s="11">
        <f t="shared" si="14"/>
        <v>2.8515120487200913E-2</v>
      </c>
      <c r="S7" s="11">
        <f t="shared" si="8"/>
        <v>6.4126463885215923E-2</v>
      </c>
      <c r="T7">
        <f t="shared" si="9"/>
        <v>0.99995895439387184</v>
      </c>
    </row>
    <row r="8" spans="1:22" x14ac:dyDescent="0.35">
      <c r="E8">
        <v>0.2</v>
      </c>
      <c r="F8">
        <f t="shared" si="15"/>
        <v>1.9999999999999999E-7</v>
      </c>
      <c r="G8">
        <f t="shared" si="0"/>
        <v>0.04</v>
      </c>
      <c r="H8" s="6">
        <f t="shared" si="1"/>
        <v>0.66</v>
      </c>
      <c r="I8" s="6">
        <f t="shared" si="16"/>
        <v>1.8794831591491163</v>
      </c>
      <c r="J8" s="1">
        <f t="shared" si="2"/>
        <v>2.3075299682616532E-3</v>
      </c>
      <c r="K8" s="9">
        <f t="shared" si="3"/>
        <v>1.116848723754857E-3</v>
      </c>
      <c r="L8" s="10">
        <f t="shared" si="4"/>
        <v>3.8915167305937672E-2</v>
      </c>
      <c r="M8" s="11">
        <f t="shared" si="12"/>
        <v>2.1035859258231239E-5</v>
      </c>
      <c r="N8" s="14">
        <f t="shared" si="5"/>
        <v>2.2274370922200361E-10</v>
      </c>
      <c r="O8" s="15">
        <f t="shared" si="6"/>
        <v>1122.3661528902289</v>
      </c>
      <c r="P8" s="15">
        <f t="shared" si="7"/>
        <v>543.22727014696943</v>
      </c>
      <c r="Q8" s="13">
        <f t="shared" si="13"/>
        <v>2.7090951949913136E-2</v>
      </c>
      <c r="R8" s="11">
        <f t="shared" si="14"/>
        <v>5.0358466236828332E-2</v>
      </c>
      <c r="S8" s="11">
        <f t="shared" si="8"/>
        <v>7.6104594740201814E-2</v>
      </c>
      <c r="T8">
        <f t="shared" si="9"/>
        <v>0.99999377882716578</v>
      </c>
    </row>
    <row r="9" spans="1:22" x14ac:dyDescent="0.35">
      <c r="A9" s="5" t="s">
        <v>12</v>
      </c>
      <c r="B9" s="6">
        <f>2*0.066/$B$3</f>
        <v>2.64E-2</v>
      </c>
      <c r="C9" s="6"/>
      <c r="E9">
        <v>0.3</v>
      </c>
      <c r="F9">
        <f t="shared" si="15"/>
        <v>2.9999999999999999E-7</v>
      </c>
      <c r="G9">
        <f t="shared" si="0"/>
        <v>0.06</v>
      </c>
      <c r="H9" s="6">
        <f t="shared" si="1"/>
        <v>0.44000000000000006</v>
      </c>
      <c r="I9" s="6">
        <f t="shared" si="16"/>
        <v>1.5675269597578061</v>
      </c>
      <c r="J9" s="1">
        <f t="shared" si="2"/>
        <v>4.3301849717066465E-3</v>
      </c>
      <c r="K9" s="9">
        <f t="shared" si="3"/>
        <v>2.0958174436695562E-3</v>
      </c>
      <c r="L9" s="10">
        <f t="shared" si="4"/>
        <v>8.4670672351451856E-2</v>
      </c>
      <c r="M9" s="11">
        <f t="shared" si="12"/>
        <v>8.5888192146975619E-5</v>
      </c>
      <c r="N9" s="14">
        <f t="shared" si="5"/>
        <v>1.2384850506101018E-10</v>
      </c>
      <c r="O9" s="15">
        <f t="shared" si="6"/>
        <v>2018.5952174137681</v>
      </c>
      <c r="P9" s="15">
        <f t="shared" si="7"/>
        <v>977.00377605262327</v>
      </c>
      <c r="Q9" s="13">
        <f t="shared" si="13"/>
        <v>1.8251326357674701E-2</v>
      </c>
      <c r="R9" s="11">
        <f t="shared" si="14"/>
        <v>0.11183547069494344</v>
      </c>
      <c r="S9" s="11">
        <f t="shared" si="8"/>
        <v>0.12812054196123834</v>
      </c>
      <c r="T9">
        <f t="shared" si="9"/>
        <v>0.99999999827975805</v>
      </c>
    </row>
    <row r="10" spans="1:22" x14ac:dyDescent="0.35">
      <c r="A10" s="5"/>
      <c r="B10" s="6"/>
      <c r="C10" s="6"/>
      <c r="E10">
        <v>0.4</v>
      </c>
      <c r="F10">
        <f t="shared" si="15"/>
        <v>3.9999999999999998E-7</v>
      </c>
      <c r="G10">
        <f t="shared" si="0"/>
        <v>0.08</v>
      </c>
      <c r="H10" s="6">
        <f t="shared" si="1"/>
        <v>0.33</v>
      </c>
      <c r="I10" s="6">
        <f t="shared" si="16"/>
        <v>1.4195189671218373</v>
      </c>
      <c r="J10" s="1">
        <f t="shared" si="2"/>
        <v>6.9712410908377527E-3</v>
      </c>
      <c r="K10" s="9">
        <f t="shared" si="3"/>
        <v>3.3740934342685511E-3</v>
      </c>
      <c r="L10" s="10">
        <f t="shared" si="4"/>
        <v>0.14572863667023697</v>
      </c>
      <c r="M10" s="11">
        <f t="shared" si="12"/>
        <v>2.3798468454225313E-4</v>
      </c>
      <c r="N10" s="14">
        <f t="shared" si="5"/>
        <v>8.4115922643023623E-11</v>
      </c>
      <c r="O10" s="15">
        <f t="shared" si="6"/>
        <v>2972.0888999929957</v>
      </c>
      <c r="P10" s="15">
        <f t="shared" si="7"/>
        <v>1438.4964618005633</v>
      </c>
      <c r="Q10" s="13">
        <f t="shared" si="13"/>
        <v>1.407327611285066E-2</v>
      </c>
      <c r="R10" s="11">
        <f t="shared" si="14"/>
        <v>0.1962867648512393</v>
      </c>
      <c r="S10" s="11">
        <f t="shared" si="8"/>
        <v>0.20778622274997183</v>
      </c>
      <c r="T10">
        <f t="shared" si="9"/>
        <v>0.99999999999999389</v>
      </c>
    </row>
    <row r="11" spans="1:22" x14ac:dyDescent="0.35">
      <c r="A11" s="5" t="s">
        <v>30</v>
      </c>
      <c r="B11" s="6">
        <f>-0.5*LN($B$6)-0.75+$B$6-0.25*($B$6)^2</f>
        <v>1.033053948659991</v>
      </c>
      <c r="C11" s="6"/>
      <c r="E11">
        <v>0.5</v>
      </c>
      <c r="F11">
        <f t="shared" si="15"/>
        <v>4.9999999999999998E-7</v>
      </c>
      <c r="G11">
        <f t="shared" si="0"/>
        <v>0.1</v>
      </c>
      <c r="H11" s="6">
        <f t="shared" si="1"/>
        <v>0.26400000000000001</v>
      </c>
      <c r="I11" s="6">
        <f t="shared" si="16"/>
        <v>1.3334852069400553</v>
      </c>
      <c r="J11" s="1">
        <f t="shared" si="2"/>
        <v>1.0232391090700243E-2</v>
      </c>
      <c r="K11" s="9">
        <f t="shared" si="3"/>
        <v>4.9524959969288254E-3</v>
      </c>
      <c r="L11" s="10">
        <f t="shared" si="4"/>
        <v>0.22057542619530454</v>
      </c>
      <c r="M11" s="11">
        <f t="shared" si="12"/>
        <v>5.2872307233814008E-4</v>
      </c>
      <c r="N11" s="14">
        <f t="shared" si="5"/>
        <v>6.3214280956040924E-11</v>
      </c>
      <c r="O11" s="15">
        <f t="shared" si="6"/>
        <v>3954.8025575715947</v>
      </c>
      <c r="P11" s="15">
        <f t="shared" si="7"/>
        <v>1914.1316688743614</v>
      </c>
      <c r="Q11" s="13">
        <f t="shared" si="13"/>
        <v>1.1617097931566388E-2</v>
      </c>
      <c r="R11" s="11">
        <f t="shared" si="14"/>
        <v>0.30286568373433609</v>
      </c>
      <c r="S11" s="11">
        <f t="shared" si="8"/>
        <v>0.31132867039766321</v>
      </c>
      <c r="T11">
        <f t="shared" si="9"/>
        <v>1</v>
      </c>
    </row>
    <row r="12" spans="1:22" x14ac:dyDescent="0.35">
      <c r="A12" s="19" t="s">
        <v>9</v>
      </c>
      <c r="B12" s="20">
        <v>1.8099999999999999E-5</v>
      </c>
      <c r="C12" s="6" t="s">
        <v>6</v>
      </c>
      <c r="E12">
        <v>0.6</v>
      </c>
      <c r="F12">
        <f t="shared" si="15"/>
        <v>5.9999999999999997E-7</v>
      </c>
      <c r="G12">
        <f t="shared" si="0"/>
        <v>0.12</v>
      </c>
      <c r="H12" s="6">
        <f t="shared" si="1"/>
        <v>0.22000000000000003</v>
      </c>
      <c r="I12" s="6">
        <f t="shared" si="16"/>
        <v>1.2771329393359196</v>
      </c>
      <c r="J12" s="1">
        <f t="shared" si="2"/>
        <v>1.4111966180507399E-2</v>
      </c>
      <c r="K12" s="9">
        <f t="shared" si="3"/>
        <v>6.8302174338583698E-3</v>
      </c>
      <c r="L12" s="10">
        <f t="shared" si="4"/>
        <v>0.30777306984873182</v>
      </c>
      <c r="M12" s="11">
        <f t="shared" si="12"/>
        <v>1.0174478254885411E-3</v>
      </c>
      <c r="N12" s="14">
        <f t="shared" si="5"/>
        <v>5.0452403487007964E-11</v>
      </c>
      <c r="O12" s="15">
        <f t="shared" si="6"/>
        <v>4955.1653186230797</v>
      </c>
      <c r="P12" s="15">
        <f t="shared" si="7"/>
        <v>2398.3090742988743</v>
      </c>
      <c r="Q12" s="13">
        <f t="shared" si="13"/>
        <v>9.9857669012517625E-3</v>
      </c>
      <c r="R12" s="11">
        <f t="shared" si="14"/>
        <v>0.43077701336621427</v>
      </c>
      <c r="S12" s="11">
        <f t="shared" si="8"/>
        <v>0.4370345128118085</v>
      </c>
      <c r="T12">
        <f t="shared" si="9"/>
        <v>1</v>
      </c>
    </row>
    <row r="13" spans="1:22" x14ac:dyDescent="0.35">
      <c r="A13" s="19" t="s">
        <v>8</v>
      </c>
      <c r="B13" s="6">
        <v>6.6000000000000003E-2</v>
      </c>
      <c r="C13" s="6" t="s">
        <v>2</v>
      </c>
      <c r="E13">
        <v>0.7</v>
      </c>
      <c r="F13">
        <f t="shared" si="15"/>
        <v>6.9999999999999997E-7</v>
      </c>
      <c r="G13">
        <f t="shared" si="0"/>
        <v>0.13999999999999999</v>
      </c>
      <c r="H13" s="6">
        <f t="shared" si="1"/>
        <v>0.18857142857142858</v>
      </c>
      <c r="I13" s="6">
        <f t="shared" si="16"/>
        <v>1.2372551631769806</v>
      </c>
      <c r="J13" s="1">
        <f t="shared" si="2"/>
        <v>1.8608196131268278E-2</v>
      </c>
      <c r="K13" s="9">
        <f t="shared" si="3"/>
        <v>9.0064009509888583E-3</v>
      </c>
      <c r="L13" s="10">
        <f t="shared" si="4"/>
        <v>0.40594086322841449</v>
      </c>
      <c r="M13" s="11">
        <f t="shared" si="12"/>
        <v>1.7695427142832359E-3</v>
      </c>
      <c r="N13" s="14">
        <f t="shared" si="5"/>
        <v>4.189461843099493E-11</v>
      </c>
      <c r="O13" s="15">
        <f t="shared" si="6"/>
        <v>5967.3535495203914</v>
      </c>
      <c r="P13" s="15">
        <f t="shared" si="7"/>
        <v>2888.2100287506023</v>
      </c>
      <c r="Q13" s="13">
        <f t="shared" si="13"/>
        <v>8.8152882674847697E-3</v>
      </c>
      <c r="R13" s="11">
        <f t="shared" si="14"/>
        <v>0.57927276676499062</v>
      </c>
      <c r="S13" s="11">
        <f t="shared" si="8"/>
        <v>0.58371953048184388</v>
      </c>
      <c r="T13">
        <f t="shared" si="9"/>
        <v>1</v>
      </c>
    </row>
    <row r="14" spans="1:22" x14ac:dyDescent="0.35">
      <c r="A14" s="6"/>
      <c r="B14" s="6"/>
      <c r="C14" s="6"/>
      <c r="E14">
        <v>0.8</v>
      </c>
      <c r="F14">
        <f t="shared" si="15"/>
        <v>7.9999999999999996E-7</v>
      </c>
      <c r="G14">
        <f t="shared" si="0"/>
        <v>0.16</v>
      </c>
      <c r="H14" s="6">
        <f t="shared" si="1"/>
        <v>0.16500000000000001</v>
      </c>
      <c r="I14" s="6">
        <f t="shared" si="16"/>
        <v>1.2074889938308884</v>
      </c>
      <c r="J14" s="1">
        <f t="shared" si="2"/>
        <v>2.3719857460152507E-2</v>
      </c>
      <c r="K14" s="9">
        <f t="shared" si="3"/>
        <v>1.1480454380393362E-2</v>
      </c>
      <c r="L14" s="10">
        <f t="shared" si="4"/>
        <v>0.51374385440785342</v>
      </c>
      <c r="M14" s="11">
        <f t="shared" si="12"/>
        <v>2.8546490197280216E-3</v>
      </c>
      <c r="N14" s="14">
        <f t="shared" si="5"/>
        <v>3.5775869555064478E-11</v>
      </c>
      <c r="O14" s="15">
        <f t="shared" si="6"/>
        <v>6987.9503450003403</v>
      </c>
      <c r="P14" s="15">
        <f t="shared" si="7"/>
        <v>3382.1807438346495</v>
      </c>
      <c r="Q14" s="13">
        <f t="shared" si="13"/>
        <v>7.929764661467411E-3</v>
      </c>
      <c r="R14" s="11">
        <f t="shared" si="14"/>
        <v>0.74764838181461202</v>
      </c>
      <c r="S14" s="11">
        <f t="shared" si="8"/>
        <v>0.75036413365164956</v>
      </c>
      <c r="T14">
        <f t="shared" si="9"/>
        <v>1</v>
      </c>
    </row>
    <row r="15" spans="1:22" x14ac:dyDescent="0.35">
      <c r="A15" s="6"/>
      <c r="B15" s="6"/>
      <c r="C15" s="6"/>
      <c r="E15">
        <v>0.9</v>
      </c>
      <c r="F15">
        <f t="shared" si="15"/>
        <v>8.9999999999999996E-7</v>
      </c>
      <c r="G15">
        <f t="shared" si="0"/>
        <v>0.18</v>
      </c>
      <c r="H15" s="6">
        <f t="shared" si="1"/>
        <v>0.14666666666666667</v>
      </c>
      <c r="I15" s="6">
        <f t="shared" si="16"/>
        <v>1.1843924476163821</v>
      </c>
      <c r="J15" s="1">
        <f t="shared" si="2"/>
        <v>2.9446221073335464E-2</v>
      </c>
      <c r="K15" s="9">
        <f t="shared" si="3"/>
        <v>1.4252024839327679E-2</v>
      </c>
      <c r="L15" s="10">
        <f t="shared" si="4"/>
        <v>0.62988498925012282</v>
      </c>
      <c r="M15" s="11">
        <f t="shared" si="12"/>
        <v>4.3449504860597768E-3</v>
      </c>
      <c r="N15" s="14">
        <f t="shared" si="5"/>
        <v>3.1192495739808236E-11</v>
      </c>
      <c r="O15" s="15">
        <f t="shared" si="6"/>
        <v>8014.7482293616858</v>
      </c>
      <c r="P15" s="15">
        <f t="shared" si="7"/>
        <v>3879.1527972754402</v>
      </c>
      <c r="Q15" s="13">
        <f t="shared" si="13"/>
        <v>7.2334985447188322E-3</v>
      </c>
      <c r="R15" s="11">
        <f t="shared" si="14"/>
        <v>0.9352392919822915</v>
      </c>
      <c r="S15" s="11">
        <f t="shared" si="8"/>
        <v>0.93598708516247942</v>
      </c>
      <c r="T15">
        <f t="shared" si="9"/>
        <v>1</v>
      </c>
    </row>
    <row r="16" spans="1:22" x14ac:dyDescent="0.35">
      <c r="A16" s="6"/>
      <c r="B16" s="6"/>
      <c r="C16" s="6"/>
      <c r="E16">
        <v>1</v>
      </c>
      <c r="F16">
        <f t="shared" si="15"/>
        <v>9.9999999999999995E-7</v>
      </c>
      <c r="G16">
        <f t="shared" si="0"/>
        <v>0.2</v>
      </c>
      <c r="H16" s="6">
        <f t="shared" si="1"/>
        <v>0.13200000000000001</v>
      </c>
      <c r="I16" s="6">
        <f t="shared" si="16"/>
        <v>1.1659366915083549</v>
      </c>
      <c r="J16" s="1">
        <f t="shared" si="2"/>
        <v>3.5786884331134292E-2</v>
      </c>
      <c r="K16" s="9">
        <f t="shared" si="3"/>
        <v>1.7320917449449112E-2</v>
      </c>
      <c r="L16" s="10">
        <f t="shared" si="4"/>
        <v>0.75309943043047345</v>
      </c>
      <c r="M16" s="11">
        <f t="shared" si="12"/>
        <v>6.3135004142976609E-3</v>
      </c>
      <c r="N16" s="14">
        <f t="shared" si="5"/>
        <v>2.7635795736757354E-11</v>
      </c>
      <c r="O16" s="15">
        <f t="shared" si="6"/>
        <v>9046.2385227245031</v>
      </c>
      <c r="P16" s="15">
        <f t="shared" si="7"/>
        <v>4378.3959852526013</v>
      </c>
      <c r="Q16" s="13">
        <f t="shared" si="13"/>
        <v>6.6697779535114174E-3</v>
      </c>
      <c r="R16" s="11">
        <f t="shared" si="14"/>
        <v>1</v>
      </c>
      <c r="S16" s="11">
        <f t="shared" si="8"/>
        <v>1</v>
      </c>
      <c r="T16">
        <f t="shared" si="9"/>
        <v>1</v>
      </c>
    </row>
    <row r="17" spans="1:20" x14ac:dyDescent="0.35">
      <c r="A17" s="6"/>
      <c r="B17" s="6"/>
      <c r="C17" s="6"/>
      <c r="E17">
        <v>1.5</v>
      </c>
      <c r="F17">
        <f t="shared" si="15"/>
        <v>1.5E-6</v>
      </c>
      <c r="G17">
        <f t="shared" si="0"/>
        <v>0.3</v>
      </c>
      <c r="H17" s="6">
        <f t="shared" si="1"/>
        <v>8.8000000000000009E-2</v>
      </c>
      <c r="I17" s="6">
        <f t="shared" si="16"/>
        <v>1.1106161311781917</v>
      </c>
      <c r="J17" s="1">
        <f t="shared" si="2"/>
        <v>7.670000905926741E-2</v>
      </c>
      <c r="K17" s="9">
        <f t="shared" si="3"/>
        <v>3.7122944623926742E-2</v>
      </c>
      <c r="L17" s="10">
        <f t="shared" si="4"/>
        <v>1.4327871207613678</v>
      </c>
      <c r="M17" s="11">
        <f t="shared" si="12"/>
        <v>2.5743707291808571E-2</v>
      </c>
      <c r="N17" s="14">
        <f t="shared" si="5"/>
        <v>1.7549701035357501E-11</v>
      </c>
      <c r="O17" s="15">
        <f t="shared" si="6"/>
        <v>14245.256913284351</v>
      </c>
      <c r="P17" s="15">
        <f t="shared" si="7"/>
        <v>6894.7303922328319</v>
      </c>
      <c r="Q17" s="13">
        <f t="shared" si="13"/>
        <v>4.9205298940827617E-3</v>
      </c>
      <c r="R17" s="11">
        <f t="shared" si="14"/>
        <v>1</v>
      </c>
      <c r="S17" s="11">
        <f t="shared" si="8"/>
        <v>1</v>
      </c>
      <c r="T17">
        <f t="shared" si="9"/>
        <v>1</v>
      </c>
    </row>
    <row r="18" spans="1:20" x14ac:dyDescent="0.35">
      <c r="A18" s="6"/>
      <c r="B18" s="6"/>
      <c r="C18" s="6"/>
      <c r="E18">
        <v>2</v>
      </c>
      <c r="F18">
        <f t="shared" si="15"/>
        <v>1.9999999999999999E-6</v>
      </c>
      <c r="G18">
        <f t="shared" si="0"/>
        <v>0.4</v>
      </c>
      <c r="H18" s="6">
        <f t="shared" si="1"/>
        <v>6.6000000000000003E-2</v>
      </c>
      <c r="I18" s="6">
        <f t="shared" si="16"/>
        <v>1.0829620015253256</v>
      </c>
      <c r="J18" s="1">
        <f t="shared" si="2"/>
        <v>0.13296034395645498</v>
      </c>
      <c r="K18" s="9">
        <f t="shared" si="3"/>
        <v>6.4353049581254831E-2</v>
      </c>
      <c r="L18" s="10">
        <v>2</v>
      </c>
      <c r="M18" s="11">
        <f t="shared" si="12"/>
        <v>6.2293987322471718E-2</v>
      </c>
      <c r="N18" s="14">
        <f t="shared" si="5"/>
        <v>1.2834537622323957E-11</v>
      </c>
      <c r="O18" s="15">
        <f t="shared" si="6"/>
        <v>19478.691586454857</v>
      </c>
      <c r="P18" s="15">
        <f t="shared" si="7"/>
        <v>9427.7223429237765</v>
      </c>
      <c r="Q18" s="13">
        <f t="shared" si="13"/>
        <v>3.9905778007391394E-3</v>
      </c>
      <c r="R18" s="11">
        <f t="shared" si="14"/>
        <v>1</v>
      </c>
      <c r="S18" s="11">
        <f t="shared" si="8"/>
        <v>1</v>
      </c>
      <c r="T18">
        <f t="shared" si="9"/>
        <v>1</v>
      </c>
    </row>
    <row r="19" spans="1:20" x14ac:dyDescent="0.35">
      <c r="A19" s="5" t="s">
        <v>19</v>
      </c>
      <c r="B19" s="6">
        <f>1.38E-23</f>
        <v>1.3800000000000001E-23</v>
      </c>
      <c r="C19" s="6" t="s">
        <v>20</v>
      </c>
      <c r="E19">
        <v>2.5</v>
      </c>
      <c r="F19">
        <f t="shared" si="15"/>
        <v>2.4999999999999998E-6</v>
      </c>
      <c r="G19">
        <f t="shared" si="0"/>
        <v>0.5</v>
      </c>
      <c r="H19" s="6">
        <f t="shared" si="1"/>
        <v>5.28E-2</v>
      </c>
      <c r="I19" s="6">
        <f t="shared" si="16"/>
        <v>1.0663696000189187</v>
      </c>
      <c r="J19" s="1">
        <f t="shared" si="2"/>
        <v>0.20456752609325479</v>
      </c>
      <c r="K19" s="9">
        <f t="shared" si="3"/>
        <v>9.9011056662919789E-2</v>
      </c>
      <c r="L19" s="10">
        <v>2</v>
      </c>
      <c r="M19" s="11">
        <f t="shared" si="12"/>
        <v>9.5843064915777487E-2</v>
      </c>
      <c r="N19" s="14">
        <f t="shared" si="5"/>
        <v>1.0110316507111758E-11</v>
      </c>
      <c r="O19" s="15">
        <f t="shared" si="6"/>
        <v>24727.217968314446</v>
      </c>
      <c r="P19" s="15">
        <f t="shared" si="7"/>
        <v>11968.018708214102</v>
      </c>
      <c r="Q19" s="13">
        <f t="shared" si="13"/>
        <v>3.4016700931844006E-3</v>
      </c>
      <c r="R19" s="11">
        <f t="shared" si="14"/>
        <v>1</v>
      </c>
      <c r="S19" s="11">
        <f t="shared" si="8"/>
        <v>1</v>
      </c>
      <c r="T19">
        <f t="shared" si="9"/>
        <v>1</v>
      </c>
    </row>
    <row r="20" spans="1:20" x14ac:dyDescent="0.35">
      <c r="A20" s="5" t="s">
        <v>21</v>
      </c>
      <c r="B20" s="6">
        <v>293</v>
      </c>
      <c r="C20" s="6" t="s">
        <v>22</v>
      </c>
      <c r="E20">
        <v>3</v>
      </c>
      <c r="F20">
        <f t="shared" si="15"/>
        <v>3.0000000000000001E-6</v>
      </c>
      <c r="G20">
        <f t="shared" si="0"/>
        <v>0.6</v>
      </c>
      <c r="H20" s="6">
        <f t="shared" si="1"/>
        <v>4.4000000000000004E-2</v>
      </c>
      <c r="I20" s="6">
        <f t="shared" si="16"/>
        <v>1.0553080000002444</v>
      </c>
      <c r="J20" s="1">
        <f t="shared" si="2"/>
        <v>0.2915215469613936</v>
      </c>
      <c r="K20" s="9">
        <f t="shared" si="3"/>
        <v>0.14109696175090178</v>
      </c>
      <c r="L20" s="10">
        <v>2</v>
      </c>
      <c r="M20" s="11">
        <f t="shared" si="12"/>
        <v>0.13658237494171857</v>
      </c>
      <c r="N20" s="14">
        <f t="shared" si="5"/>
        <v>8.3378673244094395E-12</v>
      </c>
      <c r="O20" s="15">
        <f t="shared" si="6"/>
        <v>29983.686507953298</v>
      </c>
      <c r="P20" s="15">
        <f t="shared" si="7"/>
        <v>14512.159092391132</v>
      </c>
      <c r="Q20" s="13">
        <f t="shared" si="13"/>
        <v>2.9900960560890356E-3</v>
      </c>
      <c r="R20" s="11">
        <f t="shared" si="14"/>
        <v>1</v>
      </c>
      <c r="S20" s="11">
        <f t="shared" si="8"/>
        <v>1</v>
      </c>
      <c r="T20">
        <f t="shared" si="9"/>
        <v>1</v>
      </c>
    </row>
    <row r="21" spans="1:20" x14ac:dyDescent="0.35">
      <c r="E21">
        <v>3.5</v>
      </c>
      <c r="F21">
        <f t="shared" si="15"/>
        <v>3.4999999999999999E-6</v>
      </c>
      <c r="G21">
        <f t="shared" si="0"/>
        <v>0.7</v>
      </c>
      <c r="H21" s="6">
        <f t="shared" si="1"/>
        <v>3.7714285714285714E-2</v>
      </c>
      <c r="I21" s="6">
        <f t="shared" si="16"/>
        <v>1.0474068571428603</v>
      </c>
      <c r="J21" s="1">
        <f t="shared" si="2"/>
        <v>0.39382240638428612</v>
      </c>
      <c r="K21" s="9">
        <f t="shared" si="3"/>
        <v>0.19061076475973321</v>
      </c>
      <c r="L21" s="10">
        <v>2</v>
      </c>
      <c r="M21" s="11">
        <f t="shared" si="12"/>
        <v>0.184511917317562</v>
      </c>
      <c r="N21" s="14">
        <f t="shared" si="5"/>
        <v>7.0932354017149368E-12</v>
      </c>
      <c r="O21" s="15">
        <f t="shared" si="6"/>
        <v>35244.847497879076</v>
      </c>
      <c r="P21" s="15">
        <f t="shared" si="7"/>
        <v>17058.570631086764</v>
      </c>
      <c r="Q21" s="13">
        <f t="shared" si="13"/>
        <v>2.6836103633437547E-3</v>
      </c>
      <c r="R21" s="11">
        <f>IF(((1+G21)/(2*$B$6))*(2*LN(1+G21)-(1-$B$6)+(1-$B$6*0.5)/(1+G21)^2-0.5*$B$6*(1+G21)^2)&lt;1, ((1+G21)/(2*$B$6))*(2*LN(1+G21)-(1-$B$6)+(1-$B$6*0.5)/(1+G21)^2-0.5*$B$6*(1+G21)^2),1)</f>
        <v>1</v>
      </c>
      <c r="S21" s="11">
        <f t="shared" si="8"/>
        <v>1</v>
      </c>
      <c r="T21">
        <f t="shared" si="9"/>
        <v>1</v>
      </c>
    </row>
    <row r="22" spans="1:20" x14ac:dyDescent="0.35">
      <c r="E22">
        <v>4</v>
      </c>
      <c r="F22">
        <f t="shared" si="15"/>
        <v>3.9999999999999998E-6</v>
      </c>
      <c r="G22">
        <f t="shared" si="0"/>
        <v>0.8</v>
      </c>
      <c r="H22" s="6">
        <f t="shared" si="1"/>
        <v>3.3000000000000002E-2</v>
      </c>
      <c r="I22" s="6">
        <f t="shared" si="16"/>
        <v>1.0414810000000001</v>
      </c>
      <c r="J22" s="1">
        <f t="shared" si="2"/>
        <v>0.51147010435850226</v>
      </c>
      <c r="K22" s="9">
        <f t="shared" si="3"/>
        <v>0.24755246568775394</v>
      </c>
      <c r="L22" s="10">
        <v>2</v>
      </c>
      <c r="M22" s="11">
        <f t="shared" si="12"/>
        <v>0.23963169204170079</v>
      </c>
      <c r="N22" s="14">
        <f t="shared" si="5"/>
        <v>6.1714663388967422E-12</v>
      </c>
      <c r="O22" s="15">
        <f t="shared" si="6"/>
        <v>40509.011355102339</v>
      </c>
      <c r="P22" s="15">
        <f t="shared" si="7"/>
        <v>19606.435563044863</v>
      </c>
      <c r="Q22" s="13">
        <f t="shared" si="13"/>
        <v>2.4450374917187839E-3</v>
      </c>
      <c r="R22" s="11">
        <f>IF(((1+G22)/(2*$B$6))*(2*LN(1+G22)-(1-$B$6)+(1-$B$6*0.5)/(1+G22)^2-0.5*$B$6*(1+G22)^2)&lt;1, ((1+G22)/(2*$B$6))*(2*LN(1+G22)-(1-$B$6)+(1-$B$6*0.5)/(1+G22)^2-0.5*$B$6*(1+G22)^2),1)</f>
        <v>1</v>
      </c>
      <c r="S22" s="11">
        <f t="shared" si="8"/>
        <v>1</v>
      </c>
      <c r="T22">
        <f t="shared" si="9"/>
        <v>1</v>
      </c>
    </row>
    <row r="23" spans="1:20" x14ac:dyDescent="0.35">
      <c r="E23">
        <v>4.5</v>
      </c>
      <c r="F23">
        <f t="shared" si="15"/>
        <v>4.5000000000000001E-6</v>
      </c>
      <c r="G23">
        <f t="shared" si="0"/>
        <v>0.9</v>
      </c>
      <c r="H23" s="6">
        <f t="shared" si="1"/>
        <v>2.9333333333333336E-2</v>
      </c>
      <c r="I23" s="6">
        <f t="shared" si="16"/>
        <v>1.036872</v>
      </c>
      <c r="J23" s="1">
        <f t="shared" si="2"/>
        <v>0.64446464088397803</v>
      </c>
      <c r="K23" s="9">
        <f t="shared" si="3"/>
        <v>0.31192206453493293</v>
      </c>
      <c r="L23" s="10">
        <v>2</v>
      </c>
      <c r="M23" s="11">
        <f t="shared" si="12"/>
        <v>0.30194169911410484</v>
      </c>
      <c r="N23" s="14">
        <f t="shared" si="5"/>
        <v>5.4614710703055804E-12</v>
      </c>
      <c r="O23" s="15">
        <f t="shared" si="6"/>
        <v>45775.212718651637</v>
      </c>
      <c r="P23" s="15">
        <f t="shared" si="7"/>
        <v>22155.286651790164</v>
      </c>
      <c r="Q23" s="13">
        <f t="shared" si="13"/>
        <v>2.2531518619777198E-3</v>
      </c>
      <c r="R23" s="11">
        <f t="shared" ref="R23:R34" si="18">IF(((1+G23)/(2*$B$6))*(2*LN(1+G23)-(1-$B$6)+(1-$B$6*0.5)/(1+G23)^2-0.5*$B$6*(1+G23)^2)&lt;1, ((1+G23)/(2*$B$6))*(2*LN(1+G23)-(1-$B$6)+(1-$B$6*0.5)/(1+G23)^2-0.5*$B$6*(1+G23)^2),1)</f>
        <v>1</v>
      </c>
      <c r="S23" s="11">
        <f t="shared" si="8"/>
        <v>1</v>
      </c>
      <c r="T23">
        <f t="shared" si="9"/>
        <v>1</v>
      </c>
    </row>
    <row r="24" spans="1:20" s="2" customFormat="1" x14ac:dyDescent="0.35">
      <c r="E24" s="2">
        <v>5</v>
      </c>
      <c r="F24" s="2">
        <f>E24*0.000001</f>
        <v>4.9999999999999996E-6</v>
      </c>
      <c r="G24" s="2">
        <f t="shared" si="0"/>
        <v>1</v>
      </c>
      <c r="H24" s="2">
        <f t="shared" si="1"/>
        <v>2.64E-2</v>
      </c>
      <c r="I24" s="2">
        <f t="shared" si="16"/>
        <v>1.0331847999999999</v>
      </c>
      <c r="J24" s="18">
        <f t="shared" si="2"/>
        <v>0.79280601596071199</v>
      </c>
      <c r="K24" s="17">
        <f t="shared" si="3"/>
        <v>0.38371956130126955</v>
      </c>
      <c r="L24" s="10">
        <v>2</v>
      </c>
      <c r="M24" s="11">
        <f t="shared" si="12"/>
        <v>0.37144193853477359</v>
      </c>
      <c r="N24" s="17">
        <f t="shared" si="5"/>
        <v>4.8978446770011255E-12</v>
      </c>
      <c r="O24" s="16">
        <f t="shared" si="6"/>
        <v>51042.85996939191</v>
      </c>
      <c r="P24" s="16">
        <f t="shared" si="7"/>
        <v>24704.837552579571</v>
      </c>
      <c r="Q24" s="13">
        <f t="shared" si="13"/>
        <v>2.0948857672843028E-3</v>
      </c>
      <c r="R24" s="11">
        <f t="shared" si="18"/>
        <v>1</v>
      </c>
      <c r="S24" s="11">
        <f t="shared" si="8"/>
        <v>1</v>
      </c>
      <c r="T24">
        <f t="shared" si="9"/>
        <v>1</v>
      </c>
    </row>
    <row r="25" spans="1:20" ht="15" x14ac:dyDescent="0.25">
      <c r="E25">
        <v>5.5</v>
      </c>
      <c r="F25">
        <f t="shared" si="15"/>
        <v>5.4999999999999999E-6</v>
      </c>
      <c r="G25">
        <f t="shared" si="0"/>
        <v>1.1000000000000001</v>
      </c>
      <c r="H25" s="6">
        <f t="shared" si="1"/>
        <v>2.4E-2</v>
      </c>
      <c r="I25" s="6">
        <f t="shared" si="16"/>
        <v>1.030168</v>
      </c>
      <c r="J25" s="1">
        <f t="shared" si="2"/>
        <v>0.95649422958870478</v>
      </c>
      <c r="K25" s="9">
        <f t="shared" si="3"/>
        <v>0.46294495598676411</v>
      </c>
      <c r="L25" s="10">
        <v>2</v>
      </c>
      <c r="M25" s="11">
        <f t="shared" si="12"/>
        <v>0.44813241030370732</v>
      </c>
      <c r="N25" s="14">
        <f t="shared" si="5"/>
        <v>4.4395849479791162E-12</v>
      </c>
      <c r="O25" s="15">
        <f t="shared" si="6"/>
        <v>56311.570322311127</v>
      </c>
      <c r="P25" s="15">
        <f t="shared" si="7"/>
        <v>27254.902996767378</v>
      </c>
      <c r="Q25" s="13">
        <f t="shared" si="13"/>
        <v>1.9617196199095514E-3</v>
      </c>
      <c r="R25" s="11">
        <f t="shared" si="18"/>
        <v>1</v>
      </c>
      <c r="S25" s="11">
        <f t="shared" si="8"/>
        <v>1</v>
      </c>
      <c r="T25">
        <f t="shared" si="9"/>
        <v>1</v>
      </c>
    </row>
    <row r="26" spans="1:20" ht="15" x14ac:dyDescent="0.25">
      <c r="E26">
        <v>6</v>
      </c>
      <c r="F26">
        <f t="shared" si="15"/>
        <v>6.0000000000000002E-6</v>
      </c>
      <c r="G26">
        <f t="shared" si="0"/>
        <v>1.2</v>
      </c>
      <c r="H26" s="6">
        <f t="shared" si="1"/>
        <v>2.2000000000000002E-2</v>
      </c>
      <c r="I26" s="6">
        <f t="shared" si="16"/>
        <v>1.0276540000000001</v>
      </c>
      <c r="J26" s="1">
        <f t="shared" si="2"/>
        <v>1.1355292817679563</v>
      </c>
      <c r="K26" s="9">
        <f t="shared" si="3"/>
        <v>0.54959824859141648</v>
      </c>
      <c r="L26" s="10">
        <v>2</v>
      </c>
      <c r="M26" s="11">
        <f t="shared" si="12"/>
        <v>0.53201311442090593</v>
      </c>
      <c r="N26" s="14">
        <f t="shared" si="5"/>
        <v>4.0596881229919013E-12</v>
      </c>
      <c r="O26" s="15">
        <f t="shared" si="6"/>
        <v>61581.085153840701</v>
      </c>
      <c r="P26" s="15">
        <f t="shared" si="7"/>
        <v>29805.357810073518</v>
      </c>
      <c r="Q26" s="13">
        <f t="shared" si="13"/>
        <v>1.8478429600810539E-3</v>
      </c>
      <c r="R26" s="11">
        <f t="shared" si="18"/>
        <v>1</v>
      </c>
      <c r="S26" s="11">
        <f t="shared" si="8"/>
        <v>1</v>
      </c>
      <c r="T26">
        <f t="shared" si="9"/>
        <v>1</v>
      </c>
    </row>
    <row r="27" spans="1:20" ht="15" x14ac:dyDescent="0.25">
      <c r="E27">
        <v>6.5</v>
      </c>
      <c r="F27">
        <f t="shared" si="15"/>
        <v>6.4999999999999996E-6</v>
      </c>
      <c r="G27">
        <f t="shared" si="0"/>
        <v>1.3</v>
      </c>
      <c r="H27" s="6">
        <f t="shared" si="1"/>
        <v>2.0307692307692308E-2</v>
      </c>
      <c r="I27" s="6">
        <f t="shared" si="16"/>
        <v>1.0255267692307692</v>
      </c>
      <c r="J27" s="1">
        <f t="shared" si="2"/>
        <v>1.3299111724984656</v>
      </c>
      <c r="K27" s="9">
        <f t="shared" si="3"/>
        <v>0.64367943911522629</v>
      </c>
      <c r="L27" s="10">
        <v>2</v>
      </c>
      <c r="M27" s="11">
        <f t="shared" si="12"/>
        <v>0.62308405088636898</v>
      </c>
      <c r="N27" s="14">
        <f t="shared" si="5"/>
        <v>3.7396473415159427E-12</v>
      </c>
      <c r="O27" s="15">
        <f t="shared" si="6"/>
        <v>66851.223436126835</v>
      </c>
      <c r="P27" s="15">
        <f t="shared" si="7"/>
        <v>32356.114374685756</v>
      </c>
      <c r="Q27" s="13">
        <f t="shared" si="13"/>
        <v>1.7491460401696799E-3</v>
      </c>
      <c r="R27" s="11">
        <f t="shared" si="18"/>
        <v>1</v>
      </c>
      <c r="S27" s="11">
        <f t="shared" si="8"/>
        <v>1</v>
      </c>
      <c r="T27">
        <f t="shared" si="9"/>
        <v>1</v>
      </c>
    </row>
    <row r="28" spans="1:20" x14ac:dyDescent="0.35">
      <c r="E28">
        <v>7</v>
      </c>
      <c r="F28">
        <f t="shared" si="15"/>
        <v>6.9999999999999999E-6</v>
      </c>
      <c r="G28">
        <f t="shared" si="0"/>
        <v>1.4</v>
      </c>
      <c r="H28" s="6">
        <f t="shared" si="1"/>
        <v>1.8857142857142857E-2</v>
      </c>
      <c r="I28" s="6">
        <f t="shared" si="16"/>
        <v>1.0237034285714286</v>
      </c>
      <c r="J28" s="1">
        <f t="shared" si="2"/>
        <v>1.5396399017802336</v>
      </c>
      <c r="K28" s="9">
        <f t="shared" si="3"/>
        <v>0.74518852755819398</v>
      </c>
      <c r="L28" s="10">
        <v>2</v>
      </c>
      <c r="M28" s="11">
        <f t="shared" si="12"/>
        <v>0.72134521970009702</v>
      </c>
      <c r="N28" s="14">
        <f t="shared" si="5"/>
        <v>3.4663556720487489E-12</v>
      </c>
      <c r="O28" s="15">
        <f t="shared" si="6"/>
        <v>72121.854665952502</v>
      </c>
      <c r="P28" s="15">
        <f t="shared" si="7"/>
        <v>34907.109526808439</v>
      </c>
      <c r="Q28" s="13">
        <f t="shared" si="13"/>
        <v>1.6626333714914057E-3</v>
      </c>
      <c r="R28" s="11">
        <f t="shared" si="18"/>
        <v>1</v>
      </c>
      <c r="S28" s="11">
        <f t="shared" si="8"/>
        <v>1</v>
      </c>
      <c r="T28">
        <f t="shared" si="9"/>
        <v>1</v>
      </c>
    </row>
    <row r="29" spans="1:20" x14ac:dyDescent="0.35">
      <c r="E29">
        <v>7.5</v>
      </c>
      <c r="F29">
        <f t="shared" si="15"/>
        <v>7.4999999999999993E-6</v>
      </c>
      <c r="G29">
        <f t="shared" si="0"/>
        <v>1.5</v>
      </c>
      <c r="H29" s="6">
        <f t="shared" si="1"/>
        <v>1.7600000000000001E-2</v>
      </c>
      <c r="I29" s="6">
        <f t="shared" si="16"/>
        <v>1.0221232</v>
      </c>
      <c r="J29" s="1">
        <f t="shared" si="2"/>
        <v>1.7647154696132596</v>
      </c>
      <c r="K29" s="9">
        <f t="shared" si="3"/>
        <v>0.85412551392031921</v>
      </c>
      <c r="L29" s="10">
        <v>2</v>
      </c>
      <c r="M29" s="11">
        <f t="shared" si="12"/>
        <v>0.8267966208620896</v>
      </c>
      <c r="N29" s="14">
        <f t="shared" si="5"/>
        <v>3.2302712121196238E-12</v>
      </c>
      <c r="O29" s="15">
        <f t="shared" si="6"/>
        <v>77392.882387716352</v>
      </c>
      <c r="P29" s="15">
        <f t="shared" si="7"/>
        <v>37458.296581754155</v>
      </c>
      <c r="Q29" s="13">
        <f t="shared" si="13"/>
        <v>1.586065852368381E-3</v>
      </c>
      <c r="R29" s="11">
        <f t="shared" si="18"/>
        <v>1</v>
      </c>
      <c r="S29" s="11">
        <f t="shared" si="8"/>
        <v>1</v>
      </c>
      <c r="T29">
        <f t="shared" si="9"/>
        <v>1</v>
      </c>
    </row>
    <row r="30" spans="1:20" x14ac:dyDescent="0.35">
      <c r="E30">
        <v>8</v>
      </c>
      <c r="F30">
        <f t="shared" si="15"/>
        <v>7.9999999999999996E-6</v>
      </c>
      <c r="G30">
        <f t="shared" si="0"/>
        <v>1.6</v>
      </c>
      <c r="H30" s="6">
        <f t="shared" si="1"/>
        <v>1.6500000000000001E-2</v>
      </c>
      <c r="I30" s="6">
        <f t="shared" si="16"/>
        <v>1.0207405000000001</v>
      </c>
      <c r="J30" s="1">
        <f t="shared" si="2"/>
        <v>2.0051378759975451</v>
      </c>
      <c r="K30" s="9">
        <f t="shared" si="3"/>
        <v>0.97049039820160254</v>
      </c>
      <c r="L30" s="10">
        <v>2</v>
      </c>
      <c r="M30" s="11">
        <f>IF(L30*K30/(2*$B$11)&lt;1,L30*K30/(2*$B$11),1)</f>
        <v>0.9394382543723474</v>
      </c>
      <c r="N30" s="14">
        <f t="shared" si="5"/>
        <v>3.0242825536417034E-12</v>
      </c>
      <c r="O30" s="15">
        <f t="shared" si="6"/>
        <v>82664.233769745275</v>
      </c>
      <c r="P30" s="15">
        <f t="shared" si="7"/>
        <v>40009.640288859955</v>
      </c>
      <c r="Q30" s="13">
        <f t="shared" si="13"/>
        <v>1.5177334350037919E-3</v>
      </c>
      <c r="R30" s="11">
        <f t="shared" si="18"/>
        <v>1</v>
      </c>
      <c r="S30" s="11">
        <f t="shared" si="8"/>
        <v>1</v>
      </c>
      <c r="T30">
        <f t="shared" si="9"/>
        <v>1</v>
      </c>
    </row>
    <row r="31" spans="1:20" x14ac:dyDescent="0.35">
      <c r="E31">
        <v>8.5</v>
      </c>
      <c r="F31">
        <f t="shared" si="15"/>
        <v>8.4999999999999999E-6</v>
      </c>
      <c r="G31">
        <f t="shared" si="0"/>
        <v>1.7</v>
      </c>
      <c r="H31" s="6">
        <f t="shared" si="1"/>
        <v>1.5529411764705884E-2</v>
      </c>
      <c r="I31" s="6">
        <f t="shared" si="16"/>
        <v>1.0195204705882353</v>
      </c>
      <c r="J31" s="1">
        <f t="shared" si="2"/>
        <v>2.260907120933088</v>
      </c>
      <c r="K31" s="9">
        <f t="shared" si="3"/>
        <v>1.0942831804020432</v>
      </c>
      <c r="L31" s="10">
        <v>2</v>
      </c>
      <c r="M31" s="11">
        <f t="shared" si="12"/>
        <v>1</v>
      </c>
      <c r="N31" s="14">
        <f t="shared" si="5"/>
        <v>2.8429814696804032E-12</v>
      </c>
      <c r="O31" s="15">
        <f t="shared" si="6"/>
        <v>87935.852789115786</v>
      </c>
      <c r="P31" s="15">
        <f t="shared" si="7"/>
        <v>42561.11353292843</v>
      </c>
      <c r="Q31" s="13">
        <f t="shared" si="13"/>
        <v>1.4563057145682025E-3</v>
      </c>
      <c r="R31" s="11">
        <f t="shared" si="18"/>
        <v>1</v>
      </c>
      <c r="S31" s="11">
        <f t="shared" si="8"/>
        <v>1</v>
      </c>
      <c r="T31">
        <f t="shared" si="9"/>
        <v>1</v>
      </c>
    </row>
    <row r="32" spans="1:20" x14ac:dyDescent="0.35">
      <c r="E32">
        <v>9</v>
      </c>
      <c r="F32">
        <f t="shared" si="15"/>
        <v>9.0000000000000002E-6</v>
      </c>
      <c r="G32">
        <f t="shared" si="0"/>
        <v>1.8</v>
      </c>
      <c r="H32" s="6">
        <f t="shared" si="1"/>
        <v>1.4666666666666668E-2</v>
      </c>
      <c r="I32" s="6">
        <f t="shared" si="16"/>
        <v>1.0184359999999999</v>
      </c>
      <c r="J32" s="1">
        <f t="shared" si="2"/>
        <v>2.53202320441989</v>
      </c>
      <c r="K32" s="9">
        <f t="shared" si="3"/>
        <v>1.225503860521642</v>
      </c>
      <c r="L32" s="10">
        <v>2</v>
      </c>
      <c r="M32" s="11">
        <f t="shared" si="12"/>
        <v>1</v>
      </c>
      <c r="N32" s="14">
        <f t="shared" si="5"/>
        <v>2.6821819621697438E-12</v>
      </c>
      <c r="O32" s="15">
        <f t="shared" si="6"/>
        <v>93207.695647078013</v>
      </c>
      <c r="P32" s="15">
        <f t="shared" si="7"/>
        <v>45112.695115284565</v>
      </c>
      <c r="Q32" s="13">
        <f t="shared" si="13"/>
        <v>1.4007308177613183E-3</v>
      </c>
      <c r="R32" s="11">
        <f t="shared" si="18"/>
        <v>1</v>
      </c>
      <c r="S32" s="11">
        <f t="shared" si="8"/>
        <v>1</v>
      </c>
      <c r="T32">
        <f t="shared" si="9"/>
        <v>1</v>
      </c>
    </row>
    <row r="33" spans="5:20" x14ac:dyDescent="0.35">
      <c r="E33">
        <v>9.5</v>
      </c>
      <c r="F33">
        <f t="shared" si="15"/>
        <v>9.4999999999999988E-6</v>
      </c>
      <c r="G33">
        <f t="shared" si="0"/>
        <v>1.9</v>
      </c>
      <c r="H33" s="6">
        <f t="shared" si="1"/>
        <v>1.3894736842105264E-2</v>
      </c>
      <c r="I33" s="6">
        <f t="shared" si="16"/>
        <v>1.0174656842105263</v>
      </c>
      <c r="J33" s="1">
        <f t="shared" si="2"/>
        <v>2.818486126457949</v>
      </c>
      <c r="K33" s="9">
        <f t="shared" si="3"/>
        <v>1.3641524385603976</v>
      </c>
      <c r="L33" s="10">
        <v>2</v>
      </c>
      <c r="M33" s="11">
        <f t="shared" si="12"/>
        <v>1</v>
      </c>
      <c r="N33" s="14">
        <f t="shared" si="5"/>
        <v>2.5385935366990517E-12</v>
      </c>
      <c r="O33" s="15">
        <f t="shared" si="6"/>
        <v>98479.727607388646</v>
      </c>
      <c r="P33" s="15">
        <f t="shared" si="7"/>
        <v>47664.368223523081</v>
      </c>
      <c r="Q33" s="13">
        <f t="shared" si="13"/>
        <v>1.35016521739532E-3</v>
      </c>
      <c r="R33" s="11">
        <f t="shared" si="18"/>
        <v>1</v>
      </c>
      <c r="S33" s="11">
        <f t="shared" si="8"/>
        <v>1</v>
      </c>
      <c r="T33">
        <f t="shared" si="9"/>
        <v>1</v>
      </c>
    </row>
    <row r="34" spans="5:20" x14ac:dyDescent="0.35">
      <c r="E34">
        <v>10</v>
      </c>
      <c r="F34">
        <f t="shared" si="15"/>
        <v>9.9999999999999991E-6</v>
      </c>
      <c r="G34">
        <f t="shared" si="0"/>
        <v>2</v>
      </c>
      <c r="H34" s="6">
        <f t="shared" si="1"/>
        <v>1.32E-2</v>
      </c>
      <c r="I34" s="6">
        <f t="shared" si="16"/>
        <v>1.0165924</v>
      </c>
      <c r="J34" s="1">
        <f t="shared" si="2"/>
        <v>3.1202958870472681</v>
      </c>
      <c r="K34" s="9">
        <f t="shared" si="3"/>
        <v>1.5102289145183119</v>
      </c>
      <c r="L34" s="10">
        <v>2</v>
      </c>
      <c r="M34" s="11">
        <f t="shared" si="12"/>
        <v>1</v>
      </c>
      <c r="N34" s="14">
        <f t="shared" si="5"/>
        <v>2.4095939443842954E-12</v>
      </c>
      <c r="O34" s="15">
        <f t="shared" si="6"/>
        <v>103751.920767663</v>
      </c>
      <c r="P34" s="15">
        <f t="shared" si="7"/>
        <v>50216.119352838788</v>
      </c>
      <c r="Q34" s="13">
        <f t="shared" si="13"/>
        <v>1.3039239169512519E-3</v>
      </c>
      <c r="R34" s="11">
        <f t="shared" si="18"/>
        <v>1</v>
      </c>
      <c r="S34" s="11">
        <f t="shared" si="8"/>
        <v>1</v>
      </c>
      <c r="T34">
        <f t="shared" si="9"/>
        <v>1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Zhongchao Tan</dc:creator>
  <cp:lastModifiedBy>inst</cp:lastModifiedBy>
  <dcterms:created xsi:type="dcterms:W3CDTF">2014-02-07T21:35:02Z</dcterms:created>
  <dcterms:modified xsi:type="dcterms:W3CDTF">2014-10-21T14:53:41Z</dcterms:modified>
</cp:coreProperties>
</file>