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uofwaterloo.sharepoint.com/sites/HR-SharePoint/HR_R_DRIVE_SP/Temp/Payroll/NET PAY_BENEFIT COST CALCULATOR/"/>
    </mc:Choice>
  </mc:AlternateContent>
  <xr:revisionPtr revIDLastSave="102" documentId="8_{8FDB84DB-AD36-45ED-83B7-D609E2EE20CE}" xr6:coauthVersionLast="47" xr6:coauthVersionMax="47" xr10:uidLastSave="{FF298155-762F-4F28-9E53-071FE75F255C}"/>
  <workbookProtection workbookAlgorithmName="SHA-512" workbookHashValue="yajq9ZMIAjyvTgDmqpnsHspVuZMbccl6dMY4IhWK0GIgJb1XEFpbPKg7ufDWSI9xKDFy4FJGtcQBJT/lNOkNpg==" workbookSaltValue="qXIGnCnMyNQnN81Q7dB0hQ==" workbookSpinCount="100000" lockStructure="1"/>
  <bookViews>
    <workbookView xWindow="28680" yWindow="-120" windowWidth="29040" windowHeight="15720" xr2:uid="{00000000-000D-0000-FFFF-FFFF00000000}"/>
  </bookViews>
  <sheets>
    <sheet name="Calculator" sheetId="4" r:id="rId1"/>
    <sheet name="Rates Sheet" sheetId="1" state="hidden" r:id="rId2"/>
    <sheet name="Optional &amp; Spousal Life Rates"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F50" i="1"/>
  <c r="F51" i="1"/>
  <c r="F49" i="1"/>
  <c r="G52" i="1"/>
  <c r="G50" i="1"/>
  <c r="G51" i="1"/>
  <c r="E50" i="1"/>
  <c r="E51" i="1"/>
  <c r="G49" i="1"/>
  <c r="E49" i="1"/>
  <c r="C49" i="1" l="1"/>
  <c r="B51" i="1" s="1"/>
  <c r="B46" i="1"/>
  <c r="B47" i="1" s="1"/>
  <c r="C50" i="1"/>
  <c r="D13" i="5" s="1"/>
  <c r="B22" i="1"/>
  <c r="B20" i="1"/>
  <c r="B35" i="1"/>
  <c r="C59" i="1"/>
  <c r="C58" i="1"/>
  <c r="C57" i="1"/>
  <c r="C51" i="1" l="1"/>
  <c r="D14" i="5" s="1"/>
  <c r="B50" i="1"/>
  <c r="L33" i="4"/>
  <c r="E14" i="5"/>
  <c r="E13" i="5"/>
  <c r="I31" i="4"/>
  <c r="A58" i="1"/>
  <c r="A59" i="1" s="1"/>
  <c r="D63" i="5" l="1"/>
  <c r="D64" i="5"/>
  <c r="D65" i="5"/>
  <c r="D66" i="5"/>
  <c r="D62" i="5"/>
  <c r="D53" i="5"/>
  <c r="D54" i="5"/>
  <c r="D55" i="5"/>
  <c r="D56" i="5"/>
  <c r="D52" i="5"/>
  <c r="D43" i="5"/>
  <c r="D44" i="5"/>
  <c r="D45" i="5"/>
  <c r="D46" i="5"/>
  <c r="D42" i="5"/>
  <c r="D38" i="5"/>
  <c r="D39" i="5"/>
  <c r="D40" i="5"/>
  <c r="D41" i="5"/>
  <c r="D37" i="5"/>
  <c r="D33" i="5"/>
  <c r="D34" i="5"/>
  <c r="D35" i="5"/>
  <c r="D36" i="5"/>
  <c r="D32" i="5"/>
  <c r="D20" i="5"/>
  <c r="F63" i="5"/>
  <c r="F64" i="5"/>
  <c r="F65" i="5"/>
  <c r="F66" i="5"/>
  <c r="F62" i="5"/>
  <c r="F53" i="5"/>
  <c r="F54" i="5"/>
  <c r="F55" i="5"/>
  <c r="F56" i="5"/>
  <c r="F52" i="5"/>
  <c r="F43" i="5"/>
  <c r="F44" i="5"/>
  <c r="F45" i="5"/>
  <c r="F46" i="5"/>
  <c r="F42" i="5"/>
  <c r="F38" i="5"/>
  <c r="F39" i="5"/>
  <c r="F40" i="5"/>
  <c r="F41" i="5"/>
  <c r="F37" i="5"/>
  <c r="F33" i="5"/>
  <c r="F34" i="5"/>
  <c r="F35" i="5"/>
  <c r="F36" i="5"/>
  <c r="F32" i="5"/>
  <c r="F20" i="5"/>
  <c r="G63" i="5"/>
  <c r="G64" i="5"/>
  <c r="G65" i="5"/>
  <c r="G66" i="5"/>
  <c r="G62" i="5"/>
  <c r="G58" i="5"/>
  <c r="G59" i="5"/>
  <c r="G60" i="5"/>
  <c r="G61" i="5"/>
  <c r="G57" i="5"/>
  <c r="G53" i="5"/>
  <c r="G54" i="5"/>
  <c r="G55" i="5"/>
  <c r="G56" i="5"/>
  <c r="G52" i="5"/>
  <c r="G48" i="5"/>
  <c r="G49" i="5"/>
  <c r="G50" i="5"/>
  <c r="G51" i="5"/>
  <c r="G47" i="5"/>
  <c r="G43" i="5"/>
  <c r="G44" i="5"/>
  <c r="G45" i="5"/>
  <c r="G46" i="5"/>
  <c r="G42" i="5"/>
  <c r="G33" i="5"/>
  <c r="G34" i="5"/>
  <c r="G35" i="5"/>
  <c r="G36" i="5"/>
  <c r="G32" i="5"/>
  <c r="G22" i="5"/>
  <c r="G23" i="5"/>
  <c r="G24" i="5"/>
  <c r="G25" i="5"/>
  <c r="G26" i="5"/>
  <c r="G27" i="5"/>
  <c r="G28" i="5"/>
  <c r="G29" i="5"/>
  <c r="G30" i="5"/>
  <c r="G31" i="5"/>
  <c r="G21" i="5"/>
  <c r="G20" i="5"/>
  <c r="E58" i="5"/>
  <c r="E59" i="5"/>
  <c r="E60" i="5"/>
  <c r="E61" i="5"/>
  <c r="E57" i="5"/>
  <c r="E53" i="5"/>
  <c r="E54" i="5"/>
  <c r="E55" i="5"/>
  <c r="E56" i="5"/>
  <c r="E52" i="5"/>
  <c r="E48" i="5"/>
  <c r="E49" i="5"/>
  <c r="E50" i="5"/>
  <c r="E51" i="5"/>
  <c r="E47" i="5"/>
  <c r="E43" i="5"/>
  <c r="E44" i="5"/>
  <c r="E45" i="5"/>
  <c r="E46" i="5"/>
  <c r="E42" i="5"/>
  <c r="E41" i="5"/>
  <c r="E40" i="5"/>
  <c r="E39" i="5"/>
  <c r="E38" i="5"/>
  <c r="E37" i="5"/>
  <c r="E22" i="5"/>
  <c r="E23" i="5"/>
  <c r="E24" i="5"/>
  <c r="E25" i="5"/>
  <c r="E26" i="5"/>
  <c r="E27" i="5"/>
  <c r="E28" i="5"/>
  <c r="E29" i="5"/>
  <c r="E30" i="5"/>
  <c r="E31" i="5"/>
  <c r="E21" i="5"/>
  <c r="D50" i="5" l="1"/>
  <c r="D49" i="5"/>
  <c r="D48" i="5"/>
  <c r="D47" i="5"/>
  <c r="D51" i="5"/>
  <c r="B29" i="1" l="1"/>
  <c r="I32" i="4" l="1"/>
  <c r="M22" i="4" l="1"/>
  <c r="B30" i="1"/>
  <c r="E66" i="5" l="1"/>
  <c r="E65" i="5"/>
  <c r="E64" i="5"/>
  <c r="E63" i="5"/>
  <c r="E62" i="5"/>
  <c r="F61" i="5"/>
  <c r="D61" i="5"/>
  <c r="F60" i="5"/>
  <c r="D60" i="5"/>
  <c r="F59" i="5"/>
  <c r="D59" i="5"/>
  <c r="F58" i="5"/>
  <c r="D58" i="5"/>
  <c r="F57" i="5"/>
  <c r="D57" i="5"/>
  <c r="F51" i="5"/>
  <c r="F50" i="5"/>
  <c r="F49" i="5"/>
  <c r="F48" i="5"/>
  <c r="F47" i="5"/>
  <c r="G41" i="5"/>
  <c r="G40" i="5"/>
  <c r="G39" i="5"/>
  <c r="G38" i="5"/>
  <c r="G37" i="5"/>
  <c r="E36" i="5"/>
  <c r="E35" i="5"/>
  <c r="E34" i="5"/>
  <c r="E33" i="5"/>
  <c r="E32" i="5"/>
  <c r="F31" i="5"/>
  <c r="D31" i="5"/>
  <c r="F30" i="5"/>
  <c r="D30" i="5"/>
  <c r="F29" i="5"/>
  <c r="D29" i="5"/>
  <c r="F28" i="5"/>
  <c r="D28" i="5"/>
  <c r="F27" i="5"/>
  <c r="D27" i="5"/>
  <c r="F26" i="5"/>
  <c r="D26" i="5"/>
  <c r="F25" i="5"/>
  <c r="D25" i="5"/>
  <c r="F24" i="5"/>
  <c r="D24" i="5"/>
  <c r="F23" i="5"/>
  <c r="D23" i="5"/>
  <c r="F22" i="5"/>
  <c r="D22" i="5"/>
  <c r="F21" i="5"/>
  <c r="D21" i="5"/>
  <c r="E20" i="5"/>
  <c r="J39" i="4" l="1"/>
  <c r="I33" i="4" l="1"/>
  <c r="J26" i="5"/>
  <c r="L26" i="5"/>
  <c r="B29" i="5" s="1"/>
  <c r="I35" i="4" s="1"/>
  <c r="K26" i="5"/>
  <c r="I26" i="5"/>
  <c r="L20" i="5"/>
  <c r="K20" i="5"/>
  <c r="J20" i="5"/>
  <c r="I20" i="5"/>
  <c r="F14" i="5"/>
  <c r="F13" i="5"/>
  <c r="F12" i="5"/>
  <c r="B16" i="5" l="1"/>
  <c r="I34" i="4" s="1"/>
  <c r="I29" i="4" l="1"/>
  <c r="J35" i="4"/>
  <c r="J34" i="4"/>
  <c r="M33" i="4"/>
  <c r="J33" i="4"/>
  <c r="J32" i="4" l="1"/>
  <c r="L32" i="4"/>
  <c r="M32" i="4" s="1"/>
  <c r="L27" i="4"/>
  <c r="J38" i="4"/>
  <c r="J22" i="4"/>
  <c r="L30" i="4"/>
  <c r="I30" i="4"/>
  <c r="J30" i="4" s="1"/>
  <c r="J29" i="4"/>
  <c r="L29" i="4"/>
  <c r="I27" i="4"/>
  <c r="J27" i="4" l="1"/>
  <c r="I42" i="4"/>
  <c r="J42" i="4" s="1"/>
  <c r="I40" i="4"/>
  <c r="M29" i="4"/>
  <c r="M30" i="4"/>
  <c r="J31" i="4"/>
  <c r="M27" i="4"/>
  <c r="L40" i="4"/>
  <c r="L43" i="4"/>
  <c r="L44" i="4"/>
  <c r="M44" i="4" s="1"/>
  <c r="L42" i="4"/>
  <c r="M43" i="4" l="1"/>
  <c r="B16" i="1"/>
  <c r="J40" i="4" l="1"/>
  <c r="I41" i="4" s="1"/>
  <c r="M40" i="4"/>
  <c r="M42" i="4"/>
  <c r="J41" i="4" l="1"/>
  <c r="L41" i="4" l="1"/>
  <c r="L45" i="4" s="1"/>
  <c r="I45" i="4"/>
  <c r="M41" i="4" l="1"/>
  <c r="M45" i="4" s="1"/>
  <c r="M46" i="4" s="1"/>
  <c r="J4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Gill, Holly A</author>
  </authors>
  <commentList>
    <comment ref="I22" authorId="0" shapeId="0" xr:uid="{00000000-0006-0000-0000-000001000000}">
      <text>
        <r>
          <rPr>
            <sz val="9"/>
            <color indexed="81"/>
            <rFont val="Tahoma"/>
            <family val="2"/>
          </rPr>
          <t xml:space="preserve">
</t>
        </r>
        <r>
          <rPr>
            <b/>
            <sz val="9"/>
            <color indexed="81"/>
            <rFont val="Tahoma"/>
            <family val="2"/>
          </rPr>
          <t>Monthly Salary:</t>
        </r>
        <r>
          <rPr>
            <sz val="9"/>
            <color indexed="81"/>
            <rFont val="Tahoma"/>
            <family val="2"/>
          </rPr>
          <t xml:space="preserve"> This is the annual  base salary divided by 12, or the salary for the contract term divided by the duration of contract.  If you are wanting to calculate benefit costs (ie. extended health, dental, LTD, etc.) and the employee is receiving a reduced salary, do not reduce this amount unless it affects their benefits.</t>
        </r>
      </text>
    </comment>
    <comment ref="G23" authorId="0" shapeId="0" xr:uid="{00000000-0006-0000-0000-000002000000}">
      <text>
        <r>
          <rPr>
            <b/>
            <sz val="9"/>
            <color indexed="81"/>
            <rFont val="Tahoma"/>
            <family val="2"/>
          </rPr>
          <t>FTE (Full Time Equivalent):</t>
        </r>
        <r>
          <rPr>
            <sz val="9"/>
            <color indexed="81"/>
            <rFont val="Tahoma"/>
            <family val="2"/>
          </rPr>
          <t xml:space="preserve"> For full-time employees this should be 1.  For part-time employees this is calculated by taking the number of hours worked on a weekly basis divided by the standard weekly full-time hours for the position.
For instance, if the employee works 21 hours a week on a 35 hour a week job, enter 0.6 as the FTE (21/35 = 0.60)</t>
        </r>
      </text>
    </comment>
    <comment ref="G24" authorId="0" shapeId="0" xr:uid="{00000000-0006-0000-0000-000003000000}">
      <text>
        <r>
          <rPr>
            <b/>
            <sz val="9"/>
            <color indexed="81"/>
            <rFont val="Tahoma"/>
            <family val="2"/>
          </rPr>
          <t xml:space="preserve">
Number of Months:</t>
        </r>
        <r>
          <rPr>
            <sz val="9"/>
            <color indexed="81"/>
            <rFont val="Tahoma"/>
            <family val="2"/>
          </rPr>
          <t xml:space="preserve"> In order to accommodate annual maximums for such things as CPP, EI and WSIB premiums, calculations are limited to a maximum of 12 months. If calculating for a period longer than 12 months, two calculations will be required.</t>
        </r>
      </text>
    </comment>
    <comment ref="G27" authorId="0" shapeId="0" xr:uid="{00000000-0006-0000-0000-000004000000}">
      <text>
        <r>
          <rPr>
            <b/>
            <sz val="9"/>
            <color indexed="81"/>
            <rFont val="Tahoma"/>
            <family val="2"/>
          </rPr>
          <t xml:space="preserve">4% Vacation Pay: </t>
        </r>
        <r>
          <rPr>
            <sz val="9"/>
            <color indexed="81"/>
            <rFont val="Tahoma"/>
            <family val="2"/>
          </rPr>
          <t xml:space="preserve"> If the employee will be receiving 4% vacation pay each pay period, indicate "Yes" in this field.</t>
        </r>
        <r>
          <rPr>
            <b/>
            <sz val="9"/>
            <color indexed="81"/>
            <rFont val="Tahoma"/>
            <family val="2"/>
          </rPr>
          <t xml:space="preserve">  </t>
        </r>
        <r>
          <rPr>
            <sz val="9"/>
            <color indexed="81"/>
            <rFont val="Tahoma"/>
            <family val="2"/>
          </rPr>
          <t xml:space="preserve">Four percent vacation pay is generally only applicable to contracts less than 12 months.  Permanent positions and contracts 12 months or longer incur paid vacation time (paid time off).  
</t>
        </r>
      </text>
    </comment>
  </commentList>
</comments>
</file>

<file path=xl/sharedStrings.xml><?xml version="1.0" encoding="utf-8"?>
<sst xmlns="http://schemas.openxmlformats.org/spreadsheetml/2006/main" count="154" uniqueCount="126">
  <si>
    <t>Net Pay/Benefit Cost Estimator</t>
  </si>
  <si>
    <t>Tax Rates effective as of:</t>
  </si>
  <si>
    <t>Benefit rates effective as of:</t>
  </si>
  <si>
    <t>To complete a calculation, enter the monthly salary (annual salary divided by 12) and the FTE in the fields highlighted in yellow and select the correct values using the drop down lists in the fields highlighted in blue.  If not eligible or not enrolled for a certain benefit you can leave the field blank or select "No".</t>
  </si>
  <si>
    <t>Employee Net Pay Calculator</t>
  </si>
  <si>
    <t>Employer Benefit Cost Calculator</t>
  </si>
  <si>
    <t>Monthly Totals</t>
  </si>
  <si>
    <t>Total for Period Indicated</t>
  </si>
  <si>
    <t>Monthly Cost</t>
  </si>
  <si>
    <t>Monthly Salary (annual salary/12)</t>
  </si>
  <si>
    <t>Total</t>
  </si>
  <si>
    <t>FTE (enter "1" if employee works full-time)</t>
  </si>
  <si>
    <t>Salary Cost</t>
  </si>
  <si>
    <t>Number of Months</t>
  </si>
  <si>
    <t></t>
  </si>
  <si>
    <t>Benefit Coverage-Family or Single?</t>
  </si>
  <si>
    <t>4% Vacation Pay?</t>
  </si>
  <si>
    <t>Eligible?</t>
  </si>
  <si>
    <t>Extended Health</t>
  </si>
  <si>
    <t>Dental</t>
  </si>
  <si>
    <t>Long Term Disability</t>
  </si>
  <si>
    <t>Pension</t>
  </si>
  <si>
    <t>Age</t>
  </si>
  <si>
    <t>M/F</t>
  </si>
  <si>
    <t>Smoker</t>
  </si>
  <si>
    <t>Life x</t>
  </si>
  <si>
    <t>Group Life</t>
  </si>
  <si>
    <r>
      <t xml:space="preserve">Optional Life - </t>
    </r>
    <r>
      <rPr>
        <b/>
        <sz val="9"/>
        <color theme="1"/>
        <rFont val="Calibri"/>
        <family val="2"/>
        <scheme val="minor"/>
      </rPr>
      <t>Provide employee details</t>
    </r>
  </si>
  <si>
    <r>
      <t xml:space="preserve">Spousal Life - </t>
    </r>
    <r>
      <rPr>
        <b/>
        <sz val="9"/>
        <color theme="1"/>
        <rFont val="Calibri"/>
        <family val="2"/>
        <scheme val="minor"/>
      </rPr>
      <t>Provide details for spouse</t>
    </r>
  </si>
  <si>
    <t>Benefit rates include 8% PST</t>
  </si>
  <si>
    <t>Statutory Taxes</t>
  </si>
  <si>
    <t>Federal Income Tax</t>
  </si>
  <si>
    <t>Use the CRA's PDOC to obtain this amount</t>
  </si>
  <si>
    <t>Provincial Income Tax</t>
  </si>
  <si>
    <t>Canada Pension Plan - CPP</t>
  </si>
  <si>
    <t>Canada Pension Plan 2 - CPP2</t>
  </si>
  <si>
    <t>Employment Insurance - EI</t>
  </si>
  <si>
    <t>Workers Compensation Insurance - WSI</t>
  </si>
  <si>
    <t>Employers Health Tax - EHT</t>
  </si>
  <si>
    <t>Net Pay</t>
  </si>
  <si>
    <t>Total Benefit Cost</t>
  </si>
  <si>
    <r>
      <rPr>
        <b/>
        <sz val="11"/>
        <color theme="1"/>
        <rFont val="Calibri"/>
        <family val="2"/>
        <scheme val="minor"/>
      </rPr>
      <t>Please Note:</t>
    </r>
    <r>
      <rPr>
        <sz val="11"/>
        <color theme="1"/>
        <rFont val="Calibri"/>
        <family val="2"/>
        <scheme val="minor"/>
      </rPr>
      <t xml:space="preserve"> Additional payments and additional deductions, such as dues and parking fees, are not factored into the net pay calculation. </t>
    </r>
  </si>
  <si>
    <t>Rates Tables</t>
  </si>
  <si>
    <t>These Rates were lasted updated effective:</t>
  </si>
  <si>
    <t>The fields highlighted in blue must be updated everytime there is a rate change.</t>
  </si>
  <si>
    <t>Tax rates generally change as of Jan 1 each year, or July 1 if there is also a mid year</t>
  </si>
  <si>
    <t>change.  Benefits rates (other than pension) generally change as of May 1.</t>
  </si>
  <si>
    <t>Employer Paid Taxes</t>
  </si>
  <si>
    <t>Canada Pension Plan</t>
  </si>
  <si>
    <t>YMPE</t>
  </si>
  <si>
    <t>Basic Exemption</t>
  </si>
  <si>
    <t>Contribution Rate</t>
  </si>
  <si>
    <t>Annual Maximum Contribution - ER and EE</t>
  </si>
  <si>
    <t>Canada Pension Plan 2</t>
  </si>
  <si>
    <t>YAMPE</t>
  </si>
  <si>
    <t>Annual Maximum Contributory Earnings</t>
  </si>
  <si>
    <t>Employment Insurance</t>
  </si>
  <si>
    <t>Annual Max Ins Earn</t>
  </si>
  <si>
    <t>Premium Rate</t>
  </si>
  <si>
    <t>Employer Rate - Regular</t>
  </si>
  <si>
    <t>Employer Rate - Reduced</t>
  </si>
  <si>
    <t>Annual Maximum ER Premium - Regular</t>
  </si>
  <si>
    <t>Annual Maximum ER Premium - Reduced</t>
  </si>
  <si>
    <t>Workers Compensation</t>
  </si>
  <si>
    <t>Maximum Assessible Earnings</t>
  </si>
  <si>
    <t>WSI Rate</t>
  </si>
  <si>
    <t>Annual Maximum Premium</t>
  </si>
  <si>
    <t>Employers Health Tax</t>
  </si>
  <si>
    <t>Employer Paid Benefits</t>
  </si>
  <si>
    <t>Family</t>
  </si>
  <si>
    <t>Single</t>
  </si>
  <si>
    <t>Extended Health Care</t>
  </si>
  <si>
    <t>Maximum Insured Salary</t>
  </si>
  <si>
    <t>Contract Rate</t>
  </si>
  <si>
    <t>Maximum Monthly Premium</t>
  </si>
  <si>
    <r>
      <t xml:space="preserve">Group Life 3x </t>
    </r>
    <r>
      <rPr>
        <sz val="8"/>
        <color theme="1"/>
        <rFont val="Calibri"/>
        <family val="2"/>
        <scheme val="minor"/>
      </rPr>
      <t>(add together the 1x, 2x and 3x UW Group Rate)</t>
    </r>
  </si>
  <si>
    <t>Employee</t>
  </si>
  <si>
    <t>Employer</t>
  </si>
  <si>
    <t>1x</t>
  </si>
  <si>
    <t>2x</t>
  </si>
  <si>
    <t>3x</t>
  </si>
  <si>
    <t>Pension Rates</t>
  </si>
  <si>
    <t>Employer Contribution Rate</t>
  </si>
  <si>
    <t>Maximum EE Contribution</t>
  </si>
  <si>
    <t>Annual Rate</t>
  </si>
  <si>
    <t>Employee %</t>
  </si>
  <si>
    <t>Employer %</t>
  </si>
  <si>
    <t>Data Validation List - Benefit Coverage</t>
  </si>
  <si>
    <t xml:space="preserve">Data Validation List </t>
  </si>
  <si>
    <t>No</t>
  </si>
  <si>
    <t>Yes</t>
  </si>
  <si>
    <t>Data Validation Life - Duration of Contract in Months</t>
  </si>
  <si>
    <t>Data Validation List - Life Coverage</t>
  </si>
  <si>
    <t>Data Validation List - Gender</t>
  </si>
  <si>
    <t>F</t>
  </si>
  <si>
    <t>M</t>
  </si>
  <si>
    <t>TABLES</t>
  </si>
  <si>
    <t>No Insurance available beyond age 70</t>
  </si>
  <si>
    <t>GROUP RATE</t>
  </si>
  <si>
    <t>UW</t>
  </si>
  <si>
    <t>EMPLOYEE</t>
  </si>
  <si>
    <t>TOTAL</t>
  </si>
  <si>
    <t>1 times salary</t>
  </si>
  <si>
    <t>2 times salary</t>
  </si>
  <si>
    <t>3 times salary</t>
  </si>
  <si>
    <t>Calculated Option Life Employee Rate</t>
  </si>
  <si>
    <t xml:space="preserve"> PREMIUM PER $1000 OF INSURANCE</t>
  </si>
  <si>
    <t>AGE</t>
  </si>
  <si>
    <t>NON - SMOKER</t>
  </si>
  <si>
    <t xml:space="preserve">        SMOKER</t>
  </si>
  <si>
    <t>Rate for Male Non-Smoker</t>
  </si>
  <si>
    <t>Rate for Male Smoker</t>
  </si>
  <si>
    <t>Rate for Female Non-Smoker</t>
  </si>
  <si>
    <t>Rate for Female Smoker</t>
  </si>
  <si>
    <t>Male</t>
  </si>
  <si>
    <t>Female</t>
  </si>
  <si>
    <t xml:space="preserve">Male </t>
  </si>
  <si>
    <t>Less than 24</t>
  </si>
  <si>
    <t>SPOUSE</t>
  </si>
  <si>
    <t>n/a</t>
  </si>
  <si>
    <t>Calculated Spousal Benefit Rate</t>
  </si>
  <si>
    <r>
      <rPr>
        <b/>
        <sz val="11"/>
        <rFont val="Calibri"/>
        <family val="2"/>
        <scheme val="minor"/>
      </rPr>
      <t>Employee Net Pay Estimation:</t>
    </r>
    <r>
      <rPr>
        <sz val="11"/>
        <rFont val="Calibri"/>
        <family val="2"/>
        <scheme val="minor"/>
      </rPr>
      <t xml:space="preserve"> CPP2 contribution will only begin once CPP annual maximum of $4,230.45 is reached. For more on how CPP and CPP2 are calculated, please check the </t>
    </r>
    <r>
      <rPr>
        <u/>
        <sz val="11"/>
        <color theme="10"/>
        <rFont val="Calibri"/>
        <family val="2"/>
        <scheme val="minor"/>
      </rPr>
      <t xml:space="preserve">CRA Website. </t>
    </r>
  </si>
  <si>
    <t>Total Salary and Benefit Cost</t>
  </si>
  <si>
    <t>annual</t>
  </si>
  <si>
    <t>EE</t>
  </si>
  <si>
    <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</si>
</sst>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 #,##0.000_);_(* \(#,##0.000\);_(* &quot;-&quot;??_);_(@_)"/>
    <numFmt numFmtId="165" formatCode="_(&quot;$&quot;* #,##0_);_(&quot;$&quot;* \(#,##0\);_(&quot;$&quot;* &quot;-&quot;??_);_(@_)"/>
    <numFmt numFmtId="166" formatCode="_(* #,##0.0000_);_(* \(#,##0.0000\);_(* &quot;-&quot;??_);_(@_)"/>
    <numFmt numFmtId="167" formatCode="0.000%"/>
    <numFmt numFmtId="168" formatCode="0.000"/>
    <numFmt numFmtId="169" formatCode="0.0000"/>
    <numFmt numFmtId="170" formatCode="0.00000"/>
    <numFmt numFmtId="171" formatCode="_(* #,##0.00000000_);_(* \(#,##0.00000000\);_(* &quot;-&quot;??_);_(@_)"/>
    <numFmt numFmtId="172" formatCode="_(* #,##0.00000_);_(* \(#,##0.00000\);_(* &quot;-&quot;??_);_(@_)"/>
    <numFmt numFmtId="173" formatCode="_(* #,##0.000_);_(* \(#,##0.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0"/>
      <color indexed="8"/>
      <name val="Calibri"/>
      <family val="2"/>
    </font>
    <font>
      <sz val="8"/>
      <color theme="1"/>
      <name val="Calibri"/>
      <family val="2"/>
      <scheme val="minor"/>
    </font>
    <font>
      <b/>
      <sz val="14"/>
      <color theme="1"/>
      <name val="Calibri"/>
      <family val="2"/>
      <scheme val="minor"/>
    </font>
    <font>
      <b/>
      <sz val="12"/>
      <color theme="1"/>
      <name val="Calibri"/>
      <family val="2"/>
      <scheme val="minor"/>
    </font>
    <font>
      <b/>
      <sz val="10"/>
      <name val="MS Sans Serif"/>
      <family val="2"/>
    </font>
    <font>
      <b/>
      <sz val="9"/>
      <color theme="1"/>
      <name val="Calibri"/>
      <family val="2"/>
      <scheme val="minor"/>
    </font>
    <font>
      <sz val="9"/>
      <color indexed="81"/>
      <name val="Tahoma"/>
      <family val="2"/>
    </font>
    <font>
      <b/>
      <sz val="9"/>
      <color indexed="81"/>
      <name val="Tahoma"/>
      <family val="2"/>
    </font>
    <font>
      <u/>
      <sz val="11"/>
      <color theme="10"/>
      <name val="Calibri"/>
      <family val="2"/>
      <scheme val="minor"/>
    </font>
    <font>
      <sz val="11"/>
      <name val="Calibri"/>
      <family val="2"/>
      <scheme val="minor"/>
    </font>
    <font>
      <sz val="10"/>
      <color theme="1" tint="0.499984740745262"/>
      <name val="Wingdings 3"/>
      <family val="1"/>
      <charset val="2"/>
    </font>
    <font>
      <sz val="11"/>
      <color theme="1" tint="0.499984740745262"/>
      <name val="Calibri"/>
      <family val="2"/>
      <scheme val="minor"/>
    </font>
    <font>
      <b/>
      <sz val="1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1"/>
        <bgColor indexed="64"/>
      </patternFill>
    </fill>
    <fill>
      <patternFill patternType="solid">
        <fgColor rgb="FF97E4FF"/>
        <bgColor indexed="64"/>
      </patternFill>
    </fill>
    <fill>
      <patternFill patternType="solid">
        <fgColor theme="0" tint="-4.9989318521683403E-2"/>
        <bgColor indexed="64"/>
      </patternFill>
    </fill>
    <fill>
      <patternFill patternType="solid">
        <fgColor theme="2"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130">
    <xf numFmtId="0" fontId="0" fillId="0" borderId="0" xfId="0"/>
    <xf numFmtId="44" fontId="0" fillId="0" borderId="0" xfId="2" applyFont="1"/>
    <xf numFmtId="0" fontId="2" fillId="0" borderId="0" xfId="0" applyFont="1"/>
    <xf numFmtId="44" fontId="0" fillId="0" borderId="0" xfId="0" applyNumberFormat="1"/>
    <xf numFmtId="0" fontId="0" fillId="0" borderId="0" xfId="0" applyAlignment="1">
      <alignment horizontal="left" indent="1"/>
    </xf>
    <xf numFmtId="43" fontId="0" fillId="0" borderId="0" xfId="0" applyNumberFormat="1"/>
    <xf numFmtId="164" fontId="0" fillId="0" borderId="0" xfId="0" applyNumberFormat="1"/>
    <xf numFmtId="166" fontId="0" fillId="0" borderId="0" xfId="0" applyNumberFormat="1"/>
    <xf numFmtId="0" fontId="0" fillId="0" borderId="0" xfId="0" quotePrefix="1" applyAlignment="1">
      <alignment horizontal="left" indent="1"/>
    </xf>
    <xf numFmtId="0" fontId="5" fillId="0" borderId="0" xfId="0" applyFont="1"/>
    <xf numFmtId="0" fontId="0" fillId="3" borderId="0" xfId="0" applyFill="1"/>
    <xf numFmtId="0" fontId="6" fillId="0" borderId="0" xfId="0" applyFont="1"/>
    <xf numFmtId="0" fontId="0" fillId="0" borderId="0" xfId="0" applyAlignment="1">
      <alignment horizontal="left"/>
    </xf>
    <xf numFmtId="0" fontId="0" fillId="0" borderId="0" xfId="0" applyAlignment="1">
      <alignment horizontal="left" indent="2"/>
    </xf>
    <xf numFmtId="44" fontId="0" fillId="0" borderId="0" xfId="2" applyFont="1" applyFill="1"/>
    <xf numFmtId="0" fontId="2" fillId="0" borderId="0" xfId="0" quotePrefix="1" applyFont="1"/>
    <xf numFmtId="165" fontId="3" fillId="0" borderId="0" xfId="2" applyNumberFormat="1" applyFont="1" applyFill="1" applyBorder="1" applyAlignment="1" applyProtection="1"/>
    <xf numFmtId="14" fontId="0" fillId="2" borderId="0" xfId="0" applyNumberFormat="1" applyFill="1" applyProtection="1">
      <protection locked="0"/>
    </xf>
    <xf numFmtId="0" fontId="0" fillId="0" borderId="0" xfId="0" applyProtection="1">
      <protection locked="0"/>
    </xf>
    <xf numFmtId="44" fontId="0" fillId="0" borderId="0" xfId="2" applyFont="1" applyFill="1" applyProtection="1">
      <protection locked="0"/>
    </xf>
    <xf numFmtId="0" fontId="0" fillId="0" borderId="0" xfId="0" applyAlignment="1">
      <alignment horizontal="center"/>
    </xf>
    <xf numFmtId="164" fontId="0" fillId="0" borderId="0" xfId="1" applyNumberFormat="1" applyFont="1" applyFill="1" applyProtection="1">
      <protection locked="0"/>
    </xf>
    <xf numFmtId="164" fontId="0" fillId="0" borderId="0" xfId="1" applyNumberFormat="1" applyFont="1"/>
    <xf numFmtId="0" fontId="7" fillId="0" borderId="0" xfId="0" applyFont="1" applyAlignment="1">
      <alignment horizontal="center"/>
    </xf>
    <xf numFmtId="168" fontId="0" fillId="0" borderId="0" xfId="0" applyNumberFormat="1" applyAlignment="1">
      <alignment horizontal="left"/>
    </xf>
    <xf numFmtId="168" fontId="7" fillId="0" borderId="0" xfId="0" applyNumberFormat="1" applyFont="1" applyAlignment="1">
      <alignment horizontal="center"/>
    </xf>
    <xf numFmtId="168" fontId="0" fillId="0" borderId="0" xfId="0" applyNumberFormat="1"/>
    <xf numFmtId="0" fontId="7" fillId="0" borderId="2" xfId="0" applyFont="1" applyBorder="1" applyAlignment="1">
      <alignment horizontal="center"/>
    </xf>
    <xf numFmtId="168" fontId="7" fillId="0" borderId="0" xfId="0" applyNumberFormat="1" applyFont="1"/>
    <xf numFmtId="0" fontId="0" fillId="0" borderId="0" xfId="0" quotePrefix="1" applyAlignment="1">
      <alignment horizontal="center"/>
    </xf>
    <xf numFmtId="0" fontId="0" fillId="0" borderId="0" xfId="0" applyAlignment="1">
      <alignment wrapText="1"/>
    </xf>
    <xf numFmtId="168" fontId="0" fillId="0" borderId="0" xfId="0" applyNumberFormat="1" applyAlignment="1">
      <alignment wrapText="1"/>
    </xf>
    <xf numFmtId="0" fontId="7" fillId="0" borderId="0" xfId="0" applyFont="1"/>
    <xf numFmtId="0" fontId="7" fillId="3" borderId="0" xfId="0" applyFont="1" applyFill="1"/>
    <xf numFmtId="170" fontId="0" fillId="0" borderId="1" xfId="0" applyNumberFormat="1" applyBorder="1"/>
    <xf numFmtId="171" fontId="0" fillId="0" borderId="0" xfId="1" applyNumberFormat="1" applyFont="1"/>
    <xf numFmtId="0" fontId="2" fillId="0" borderId="2" xfId="0" applyFont="1" applyBorder="1"/>
    <xf numFmtId="0" fontId="2" fillId="0" borderId="3" xfId="0" applyFont="1" applyBorder="1"/>
    <xf numFmtId="169" fontId="0" fillId="2" borderId="0" xfId="0" applyNumberFormat="1" applyFill="1"/>
    <xf numFmtId="169" fontId="0" fillId="2" borderId="0" xfId="0" applyNumberFormat="1" applyFill="1" applyAlignment="1">
      <alignment horizontal="center"/>
    </xf>
    <xf numFmtId="0" fontId="2" fillId="0" borderId="0" xfId="0" applyFont="1" applyAlignment="1">
      <alignment horizontal="left" wrapText="1"/>
    </xf>
    <xf numFmtId="0" fontId="0" fillId="3" borderId="1" xfId="0" applyFill="1" applyBorder="1" applyAlignment="1" applyProtection="1">
      <alignment horizontal="center"/>
      <protection locked="0"/>
    </xf>
    <xf numFmtId="0" fontId="0" fillId="0" borderId="6" xfId="0" applyBorder="1"/>
    <xf numFmtId="0" fontId="5" fillId="0" borderId="7" xfId="0" applyFont="1" applyBorder="1" applyAlignment="1">
      <alignment horizontal="centerContinuous"/>
    </xf>
    <xf numFmtId="0" fontId="0" fillId="0" borderId="7" xfId="0" applyBorder="1" applyAlignment="1">
      <alignment horizontal="centerContinuous"/>
    </xf>
    <xf numFmtId="0" fontId="0" fillId="0" borderId="8" xfId="0" applyBorder="1"/>
    <xf numFmtId="0" fontId="0" fillId="0" borderId="9" xfId="0" applyBorder="1"/>
    <xf numFmtId="0" fontId="0" fillId="0" borderId="10" xfId="0" applyBorder="1"/>
    <xf numFmtId="44" fontId="0" fillId="0" borderId="0" xfId="2" applyFont="1" applyFill="1" applyBorder="1"/>
    <xf numFmtId="44" fontId="0" fillId="0" borderId="0" xfId="2" applyFont="1" applyBorder="1"/>
    <xf numFmtId="0" fontId="2" fillId="0" borderId="0" xfId="0" applyFont="1" applyAlignment="1">
      <alignment horizontal="left" indent="1"/>
    </xf>
    <xf numFmtId="0" fontId="2" fillId="0" borderId="0" xfId="0" applyFont="1" applyAlignment="1">
      <alignment horizontal="right"/>
    </xf>
    <xf numFmtId="0" fontId="0" fillId="0" borderId="11" xfId="0" applyBorder="1"/>
    <xf numFmtId="0" fontId="0" fillId="0" borderId="12" xfId="0" applyBorder="1"/>
    <xf numFmtId="0" fontId="0" fillId="0" borderId="13" xfId="0" applyBorder="1"/>
    <xf numFmtId="168" fontId="0" fillId="2" borderId="0" xfId="0" applyNumberFormat="1" applyFill="1"/>
    <xf numFmtId="168" fontId="12" fillId="2" borderId="0" xfId="0" applyNumberFormat="1" applyFont="1" applyFill="1"/>
    <xf numFmtId="0" fontId="11" fillId="0" borderId="0" xfId="4" applyBorder="1"/>
    <xf numFmtId="0" fontId="0" fillId="5" borderId="1" xfId="0" applyFill="1" applyBorder="1" applyAlignment="1" applyProtection="1">
      <alignment horizontal="center"/>
      <protection locked="0"/>
    </xf>
    <xf numFmtId="0" fontId="0" fillId="5" borderId="1" xfId="0" applyFill="1" applyBorder="1" applyProtection="1">
      <protection locked="0"/>
    </xf>
    <xf numFmtId="0" fontId="2" fillId="5" borderId="1" xfId="0" applyFont="1" applyFill="1" applyBorder="1" applyProtection="1">
      <protection locked="0"/>
    </xf>
    <xf numFmtId="0" fontId="0" fillId="0" borderId="0" xfId="0" applyAlignment="1" applyProtection="1">
      <alignment horizontal="center"/>
      <protection locked="0"/>
    </xf>
    <xf numFmtId="0" fontId="14" fillId="0" borderId="0" xfId="0" applyFont="1" applyAlignment="1">
      <alignment horizontal="center"/>
    </xf>
    <xf numFmtId="0" fontId="2" fillId="0" borderId="9" xfId="0" applyFont="1" applyBorder="1" applyAlignment="1">
      <alignment horizontal="center" wrapText="1"/>
    </xf>
    <xf numFmtId="0" fontId="2" fillId="0" borderId="10" xfId="0" applyFont="1" applyBorder="1" applyAlignment="1">
      <alignment horizontal="center" wrapText="1"/>
    </xf>
    <xf numFmtId="44" fontId="0" fillId="0" borderId="9" xfId="2" applyFont="1" applyFill="1" applyBorder="1"/>
    <xf numFmtId="44" fontId="0" fillId="0" borderId="10" xfId="2" applyFont="1" applyFill="1" applyBorder="1"/>
    <xf numFmtId="0" fontId="0" fillId="4" borderId="9" xfId="0" applyFill="1" applyBorder="1"/>
    <xf numFmtId="0" fontId="0" fillId="4" borderId="10" xfId="0" applyFill="1" applyBorder="1"/>
    <xf numFmtId="0" fontId="2" fillId="4" borderId="9" xfId="0" applyFont="1" applyFill="1" applyBorder="1" applyAlignment="1">
      <alignment horizontal="center" wrapText="1"/>
    </xf>
    <xf numFmtId="0" fontId="2" fillId="4" borderId="10" xfId="0" applyFont="1" applyFill="1" applyBorder="1" applyAlignment="1">
      <alignment horizontal="center" wrapText="1"/>
    </xf>
    <xf numFmtId="44" fontId="2" fillId="0" borderId="11" xfId="0" applyNumberFormat="1" applyFont="1" applyBorder="1"/>
    <xf numFmtId="44" fontId="2" fillId="0" borderId="13" xfId="0" applyNumberFormat="1" applyFont="1" applyBorder="1"/>
    <xf numFmtId="0" fontId="13" fillId="6" borderId="17" xfId="0" applyFont="1" applyFill="1" applyBorder="1" applyAlignment="1" applyProtection="1">
      <alignment horizontal="left" vertical="center"/>
      <protection locked="0"/>
    </xf>
    <xf numFmtId="0" fontId="11" fillId="0" borderId="0" xfId="4" applyFill="1" applyBorder="1" applyAlignment="1"/>
    <xf numFmtId="44" fontId="0" fillId="0" borderId="10" xfId="0" applyNumberFormat="1" applyBorder="1"/>
    <xf numFmtId="43" fontId="1" fillId="3" borderId="18" xfId="1" applyFont="1" applyFill="1" applyBorder="1" applyAlignment="1" applyProtection="1">
      <alignment horizontal="center" wrapText="1"/>
      <protection locked="0"/>
    </xf>
    <xf numFmtId="44" fontId="2" fillId="0" borderId="10" xfId="2" applyFont="1" applyBorder="1" applyAlignment="1">
      <alignment horizontal="center" wrapText="1"/>
    </xf>
    <xf numFmtId="44" fontId="0" fillId="4" borderId="9" xfId="2" applyFont="1" applyFill="1" applyBorder="1"/>
    <xf numFmtId="44" fontId="0" fillId="4" borderId="10" xfId="2" applyFont="1" applyFill="1" applyBorder="1"/>
    <xf numFmtId="0" fontId="2" fillId="0" borderId="0" xfId="0" applyFont="1" applyAlignment="1">
      <alignment horizontal="left" wrapText="1" indent="1"/>
    </xf>
    <xf numFmtId="0" fontId="7" fillId="3" borderId="0" xfId="0" applyFont="1" applyFill="1" applyAlignment="1">
      <alignment horizontal="center"/>
    </xf>
    <xf numFmtId="0" fontId="2" fillId="3" borderId="0" xfId="0" applyFont="1" applyFill="1" applyAlignment="1">
      <alignment horizontal="center" wrapText="1"/>
    </xf>
    <xf numFmtId="43" fontId="0" fillId="0" borderId="0" xfId="1" applyFont="1"/>
    <xf numFmtId="0" fontId="4" fillId="0" borderId="0" xfId="0" applyFont="1" applyAlignment="1">
      <alignment horizontal="left" indent="1"/>
    </xf>
    <xf numFmtId="14" fontId="0" fillId="5" borderId="0" xfId="0" applyNumberFormat="1" applyFill="1" applyProtection="1">
      <protection locked="0"/>
    </xf>
    <xf numFmtId="165" fontId="0" fillId="5" borderId="0" xfId="2" applyNumberFormat="1" applyFont="1" applyFill="1" applyProtection="1">
      <protection locked="0"/>
    </xf>
    <xf numFmtId="10" fontId="0" fillId="5" borderId="0" xfId="3" applyNumberFormat="1" applyFont="1" applyFill="1" applyProtection="1">
      <protection locked="0"/>
    </xf>
    <xf numFmtId="164" fontId="0" fillId="5" borderId="0" xfId="1" applyNumberFormat="1" applyFont="1" applyFill="1" applyProtection="1">
      <protection locked="0"/>
    </xf>
    <xf numFmtId="169" fontId="0" fillId="5" borderId="0" xfId="1" applyNumberFormat="1" applyFont="1" applyFill="1" applyProtection="1">
      <protection locked="0"/>
    </xf>
    <xf numFmtId="43" fontId="0" fillId="5" borderId="0" xfId="1" applyFont="1" applyFill="1" applyProtection="1">
      <protection locked="0"/>
    </xf>
    <xf numFmtId="172" fontId="0" fillId="5" borderId="0" xfId="1" applyNumberFormat="1" applyFont="1" applyFill="1" applyProtection="1">
      <protection locked="0"/>
    </xf>
    <xf numFmtId="167" fontId="0" fillId="5" borderId="0" xfId="3" applyNumberFormat="1" applyFont="1" applyFill="1" applyProtection="1">
      <protection locked="0"/>
    </xf>
    <xf numFmtId="170" fontId="0" fillId="0" borderId="0" xfId="0" applyNumberFormat="1"/>
    <xf numFmtId="43" fontId="0" fillId="0" borderId="0" xfId="1" applyFont="1" applyFill="1"/>
    <xf numFmtId="43" fontId="0" fillId="3" borderId="18" xfId="1" applyFont="1" applyFill="1" applyBorder="1" applyProtection="1">
      <protection locked="0"/>
    </xf>
    <xf numFmtId="43" fontId="0" fillId="0" borderId="9" xfId="0" applyNumberFormat="1" applyBorder="1"/>
    <xf numFmtId="44" fontId="0" fillId="5" borderId="0" xfId="2" applyFont="1" applyFill="1"/>
    <xf numFmtId="9" fontId="0" fillId="5" borderId="0" xfId="3" applyFont="1" applyFill="1"/>
    <xf numFmtId="0" fontId="2" fillId="0" borderId="0" xfId="0" applyFont="1" applyAlignment="1">
      <alignment wrapText="1"/>
    </xf>
    <xf numFmtId="44" fontId="2" fillId="0" borderId="19" xfId="0" applyNumberFormat="1" applyFont="1" applyBorder="1" applyAlignment="1">
      <alignment vertical="center"/>
    </xf>
    <xf numFmtId="43" fontId="0" fillId="0" borderId="0" xfId="0" applyNumberFormat="1" applyAlignment="1">
      <alignment horizontal="center"/>
    </xf>
    <xf numFmtId="173" fontId="0" fillId="0" borderId="0" xfId="0" applyNumberFormat="1"/>
    <xf numFmtId="173" fontId="0" fillId="0" borderId="2" xfId="0" applyNumberFormat="1" applyBorder="1"/>
    <xf numFmtId="43" fontId="0" fillId="0" borderId="2" xfId="0" applyNumberFormat="1" applyBorder="1" applyAlignment="1">
      <alignment horizontal="center"/>
    </xf>
    <xf numFmtId="0" fontId="0" fillId="7" borderId="7" xfId="0" applyFill="1" applyBorder="1" applyAlignment="1">
      <alignment horizontal="centerContinuous"/>
    </xf>
    <xf numFmtId="15" fontId="0" fillId="7" borderId="7" xfId="0" applyNumberFormat="1" applyFill="1" applyBorder="1" applyAlignment="1">
      <alignment horizontal="left"/>
    </xf>
    <xf numFmtId="0" fontId="11" fillId="0" borderId="0" xfId="4" applyBorder="1" applyAlignment="1" applyProtection="1">
      <alignment horizontal="left" wrapText="1"/>
      <protection locked="0"/>
    </xf>
    <xf numFmtId="0" fontId="0" fillId="7" borderId="7" xfId="0" applyFill="1" applyBorder="1" applyAlignment="1">
      <alignment horizontal="center"/>
    </xf>
    <xf numFmtId="0" fontId="0" fillId="7" borderId="0" xfId="0" applyFill="1" applyAlignment="1">
      <alignment horizontal="right"/>
    </xf>
    <xf numFmtId="0" fontId="0" fillId="7" borderId="0" xfId="0" applyFill="1"/>
    <xf numFmtId="0" fontId="0" fillId="0" borderId="0" xfId="0" applyAlignment="1">
      <alignment wrapText="1"/>
    </xf>
    <xf numFmtId="0" fontId="2" fillId="0" borderId="0" xfId="0" applyFont="1" applyAlignment="1">
      <alignment wrapText="1"/>
    </xf>
    <xf numFmtId="0" fontId="11" fillId="0" borderId="0" xfId="4" applyBorder="1" applyAlignment="1" applyProtection="1">
      <alignment horizontal="left"/>
      <protection locked="0"/>
    </xf>
    <xf numFmtId="0" fontId="11" fillId="0" borderId="0" xfId="4" applyBorder="1" applyAlignment="1" applyProtection="1">
      <protection locked="0"/>
    </xf>
    <xf numFmtId="0" fontId="2" fillId="0" borderId="0" xfId="0" applyFont="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0" fillId="0" borderId="14" xfId="0" applyBorder="1" applyAlignment="1">
      <alignment wrapText="1"/>
    </xf>
    <xf numFmtId="0" fontId="0" fillId="0" borderId="15" xfId="0" applyBorder="1"/>
    <xf numFmtId="0" fontId="0" fillId="0" borderId="16" xfId="0" applyBorder="1"/>
    <xf numFmtId="168" fontId="7" fillId="0" borderId="0" xfId="0" applyNumberFormat="1" applyFont="1" applyAlignment="1">
      <alignment horizontal="center"/>
    </xf>
    <xf numFmtId="168" fontId="0" fillId="0" borderId="0" xfId="0" applyNumberFormat="1" applyAlignment="1">
      <alignment horizontal="center"/>
    </xf>
    <xf numFmtId="168" fontId="7" fillId="0" borderId="0" xfId="0" applyNumberFormat="1" applyFont="1" applyAlignment="1">
      <alignment horizontal="left"/>
    </xf>
    <xf numFmtId="168" fontId="0" fillId="0" borderId="0" xfId="0" applyNumberFormat="1" applyAlignment="1">
      <alignment horizontal="left"/>
    </xf>
    <xf numFmtId="168" fontId="7" fillId="3" borderId="0" xfId="0" applyNumberFormat="1" applyFont="1" applyFill="1" applyAlignment="1">
      <alignment horizontal="center"/>
    </xf>
    <xf numFmtId="168" fontId="0" fillId="3" borderId="0" xfId="0" applyNumberFormat="1" applyFill="1" applyAlignment="1">
      <alignment horizontal="center"/>
    </xf>
    <xf numFmtId="168" fontId="7" fillId="3" borderId="0" xfId="0" applyNumberFormat="1" applyFont="1" applyFill="1" applyAlignment="1">
      <alignment horizontal="left"/>
    </xf>
    <xf numFmtId="168" fontId="0" fillId="3" borderId="0" xfId="0" applyNumberFormat="1" applyFill="1" applyAlignment="1">
      <alignment horizontal="left"/>
    </xf>
    <xf numFmtId="0" fontId="0" fillId="0" borderId="0" xfId="0"/>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97E4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uwaterloo.ca/human-resources/support-employees/benefits/benefit-eligibility-and-eligible-dependents" TargetMode="External"/><Relationship Id="rId1" Type="http://schemas.openxmlformats.org/officeDocument/2006/relationships/hyperlink" Target="http://www.cra-arc.gc.ca/esrvc-srvce/tx/bsnss/pdoc-eng.html" TargetMode="External"/></Relationships>
</file>

<file path=xl/drawings/drawing1.xml><?xml version="1.0" encoding="utf-8"?>
<xdr:wsDr xmlns:xdr="http://schemas.openxmlformats.org/drawingml/2006/spreadsheetDrawing" xmlns:a="http://schemas.openxmlformats.org/drawingml/2006/main">
  <xdr:twoCellAnchor>
    <xdr:from>
      <xdr:col>0</xdr:col>
      <xdr:colOff>9526</xdr:colOff>
      <xdr:row>3</xdr:row>
      <xdr:rowOff>76200</xdr:rowOff>
    </xdr:from>
    <xdr:to>
      <xdr:col>13</xdr:col>
      <xdr:colOff>590551</xdr:colOff>
      <xdr:row>11</xdr:row>
      <xdr:rowOff>733425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9526" y="695325"/>
          <a:ext cx="10267950"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This tool has been developed to help employees who are considering a change to their working hours, gross salary or benefit coverage estimate what their benefits and net pay will be.  This tool also allows departments and units to calculate the employer cost for UW supplemental benefits and statutory taxes for budgeting purposes.</a:t>
          </a:r>
          <a:r>
            <a:rPr lang="en-US"/>
            <a:t> </a:t>
          </a:r>
        </a:p>
        <a:p>
          <a:endParaRPr lang="en-US" sz="1100"/>
        </a:p>
        <a:p>
          <a:r>
            <a:rPr lang="en-US" sz="1100" b="1" i="0" u="none" strike="noStrike">
              <a:solidFill>
                <a:schemeClr val="dk1"/>
              </a:solidFill>
              <a:effectLst/>
              <a:latin typeface="+mn-lt"/>
              <a:ea typeface="+mn-ea"/>
              <a:cs typeface="+mn-cs"/>
            </a:rPr>
            <a:t>PLEASE BE AWARE OF THE FOLLOWING WHEN USING THIS TOOL:</a:t>
          </a:r>
          <a:endParaRPr lang="en-US"/>
        </a:p>
        <a:p>
          <a:r>
            <a:rPr lang="en-US" sz="1100" b="0" i="0" u="none" strike="noStrike">
              <a:solidFill>
                <a:schemeClr val="dk1"/>
              </a:solidFill>
              <a:effectLst/>
              <a:latin typeface="+mn-lt"/>
              <a:ea typeface="+mn-ea"/>
              <a:cs typeface="+mn-cs"/>
            </a:rPr>
            <a:t>The costs calculated using this tool are an </a:t>
          </a:r>
          <a:r>
            <a:rPr lang="en-US" sz="1100" b="1" i="0" u="none" strike="noStrike">
              <a:solidFill>
                <a:schemeClr val="dk1"/>
              </a:solidFill>
              <a:effectLst/>
              <a:latin typeface="+mn-lt"/>
              <a:ea typeface="+mn-ea"/>
              <a:cs typeface="+mn-cs"/>
            </a:rPr>
            <a:t>estimate</a:t>
          </a:r>
          <a:r>
            <a:rPr lang="en-US" sz="1100" b="0" i="0" u="none" strike="noStrike">
              <a:solidFill>
                <a:schemeClr val="dk1"/>
              </a:solidFill>
              <a:effectLst/>
              <a:latin typeface="+mn-lt"/>
              <a:ea typeface="+mn-ea"/>
              <a:cs typeface="+mn-cs"/>
            </a:rPr>
            <a:t> only and are based on the rates effective</a:t>
          </a:r>
          <a:r>
            <a:rPr lang="en-US" sz="1100" b="0" i="0" u="none" strike="noStrike" baseline="0">
              <a:solidFill>
                <a:schemeClr val="dk1"/>
              </a:solidFill>
              <a:effectLst/>
              <a:latin typeface="+mn-lt"/>
              <a:ea typeface="+mn-ea"/>
              <a:cs typeface="+mn-cs"/>
            </a:rPr>
            <a:t> as of the dates given at the top of this spreadsheet</a:t>
          </a:r>
          <a:r>
            <a:rPr lang="en-US" sz="1100" b="0" i="0" u="none" strike="noStrike">
              <a:solidFill>
                <a:schemeClr val="dk1"/>
              </a:solidFill>
              <a:effectLst/>
              <a:latin typeface="+mn-lt"/>
              <a:ea typeface="+mn-ea"/>
              <a:cs typeface="+mn-cs"/>
            </a:rPr>
            <a:t>.  Changes to benefit and tax rates that may occur during the calculation period used (Number of Months) will not be accounted for in this calculation.</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Tax rate changes generally come into effect January 1st of each year.  Benefit rate changes typically take effect May 1st of each year.  The rates used to support the calculations are maintained as of the effective date of the changes.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For employees using the tool to calculate Net Pay:</a:t>
          </a:r>
          <a:r>
            <a:rPr lang="en-US"/>
            <a:t> </a:t>
          </a:r>
        </a:p>
        <a:p>
          <a:r>
            <a:rPr lang="en-US" sz="1100" b="0" i="0" u="none" strike="noStrike">
              <a:solidFill>
                <a:schemeClr val="dk1"/>
              </a:solidFill>
              <a:effectLst/>
              <a:latin typeface="+mn-lt"/>
              <a:ea typeface="+mn-ea"/>
              <a:cs typeface="+mn-cs"/>
            </a:rPr>
            <a:t>The Canada Revenue Agency's (CRAs) </a:t>
          </a:r>
          <a:r>
            <a:rPr lang="en-US" sz="1100" b="0" i="0" u="sng" strike="noStrike">
              <a:solidFill>
                <a:srgbClr val="0000FF"/>
              </a:solidFill>
              <a:effectLst/>
              <a:latin typeface="+mn-lt"/>
              <a:ea typeface="+mn-ea"/>
              <a:cs typeface="+mn-cs"/>
            </a:rPr>
            <a:t>Payroll Deductions On-line Calculator (PDOC) </a:t>
          </a:r>
          <a:r>
            <a:rPr lang="en-US" sz="1100" b="0" i="0" u="none" strike="noStrike">
              <a:solidFill>
                <a:schemeClr val="dk1"/>
              </a:solidFill>
              <a:effectLst/>
              <a:latin typeface="+mn-lt"/>
              <a:ea typeface="+mn-ea"/>
              <a:cs typeface="+mn-cs"/>
            </a:rPr>
            <a:t>tool should be used to calculate your income tax deductions if you don't want to estimate this amount.  When using the PDOC you need to ensure you indicate a monthly pay period, include the same monthly earnings used in this calculator, and if applicable, you will need to know your monthly Pension deduction amount, and the employer cost of Group Life premiums (as this is a taxable benefit).  These amounts will be calculated below when you select "Yes" for Pension and Group Life</a:t>
          </a:r>
          <a:r>
            <a:rPr lang="en-US" sz="1100" b="0" i="0" u="none" strike="noStrike" baseline="0">
              <a:solidFill>
                <a:schemeClr val="dk1"/>
              </a:solidFill>
              <a:effectLst/>
              <a:latin typeface="+mn-lt"/>
              <a:ea typeface="+mn-ea"/>
              <a:cs typeface="+mn-cs"/>
            </a:rPr>
            <a:t> and indicate your life insurance coverage.</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contact HR for assistance if you (the employee) are working temporary/reduced</a:t>
          </a:r>
          <a:r>
            <a:rPr lang="en-US" sz="1100" b="0" i="0" u="none" strike="noStrike" baseline="0">
              <a:solidFill>
                <a:schemeClr val="dk1"/>
              </a:solidFill>
              <a:effectLst/>
              <a:latin typeface="+mn-lt"/>
              <a:ea typeface="+mn-ea"/>
              <a:cs typeface="+mn-cs"/>
            </a:rPr>
            <a:t> workload hours (policy 59), or i</a:t>
          </a:r>
          <a:r>
            <a:rPr lang="en-US" sz="1100" b="0" i="0" u="none" strike="noStrike">
              <a:solidFill>
                <a:schemeClr val="dk1"/>
              </a:solidFill>
              <a:effectLst/>
              <a:latin typeface="+mn-lt"/>
              <a:ea typeface="+mn-ea"/>
              <a:cs typeface="+mn-cs"/>
            </a:rPr>
            <a:t>f you are 64 and within 6 months of your 65th birthday as LTD will not apply and your life rates will differ.  </a:t>
          </a:r>
          <a:r>
            <a:rPr lang="en-US"/>
            <a:t> </a:t>
          </a:r>
        </a:p>
        <a:p>
          <a:endParaRPr lang="en-US"/>
        </a:p>
        <a:p>
          <a:endParaRPr lang="en-US" sz="1100" b="0" i="0" u="sng" strike="noStrike">
            <a:solidFill>
              <a:schemeClr val="dk1"/>
            </a:solidFill>
            <a:effectLst/>
            <a:latin typeface="+mn-lt"/>
            <a:ea typeface="+mn-ea"/>
            <a:cs typeface="+mn-cs"/>
            <a:hlinkClick xmlns:r="http://schemas.openxmlformats.org/officeDocument/2006/relationships" r:id=""/>
          </a:endParaRPr>
        </a:p>
      </xdr:txBody>
    </xdr:sp>
    <xdr:clientData/>
  </xdr:twoCellAnchor>
  <xdr:twoCellAnchor>
    <xdr:from>
      <xdr:col>0</xdr:col>
      <xdr:colOff>0</xdr:colOff>
      <xdr:row>11</xdr:row>
      <xdr:rowOff>790574</xdr:rowOff>
    </xdr:from>
    <xdr:to>
      <xdr:col>13</xdr:col>
      <xdr:colOff>590549</xdr:colOff>
      <xdr:row>16</xdr:row>
      <xdr:rowOff>104774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0" y="3724274"/>
          <a:ext cx="10277474"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For users calculating the employer cost of benefits and taxes: </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If only the employer benefit cost is being calculated</a:t>
          </a:r>
          <a:r>
            <a:rPr lang="en-US" sz="1100" b="0" i="0" baseline="0">
              <a:solidFill>
                <a:schemeClr val="dk1"/>
              </a:solidFill>
              <a:effectLst/>
              <a:latin typeface="+mn-lt"/>
              <a:ea typeface="+mn-ea"/>
              <a:cs typeface="+mn-cs"/>
            </a:rPr>
            <a:t> the user may not know certain details.  To maximize the estimate, select "Family" benefit coverage, and "3" for group life.  A selection is not required for Optional and Spousal Life and Ag</a:t>
          </a:r>
          <a:r>
            <a:rPr lang="en-US" sz="1100" b="0" i="0">
              <a:solidFill>
                <a:schemeClr val="dk1"/>
              </a:solidFill>
              <a:effectLst/>
              <a:latin typeface="+mn-lt"/>
              <a:ea typeface="+mn-ea"/>
              <a:cs typeface="+mn-cs"/>
            </a:rPr>
            <a:t>e/Gender, etc., are not required for the employee or their spouse.  </a:t>
          </a:r>
        </a:p>
        <a:p>
          <a:endParaRPr lang="en-US">
            <a:effectLst/>
          </a:endParaRPr>
        </a:p>
        <a:p>
          <a:r>
            <a:rPr lang="en-US" sz="1100" b="0" i="0">
              <a:solidFill>
                <a:schemeClr val="dk1"/>
              </a:solidFill>
              <a:effectLst/>
              <a:latin typeface="+mn-lt"/>
              <a:ea typeface="+mn-ea"/>
              <a:cs typeface="+mn-cs"/>
            </a:rPr>
            <a:t>Information</a:t>
          </a:r>
          <a:r>
            <a:rPr lang="en-US" sz="1100" b="0" i="0" baseline="0">
              <a:solidFill>
                <a:schemeClr val="dk1"/>
              </a:solidFill>
              <a:effectLst/>
              <a:latin typeface="+mn-lt"/>
              <a:ea typeface="+mn-ea"/>
              <a:cs typeface="+mn-cs"/>
            </a:rPr>
            <a:t> on benefit eligibility can be found on the HR wesite under </a:t>
          </a:r>
          <a:r>
            <a:rPr lang="en-US" sz="1100" b="0" i="1" baseline="0">
              <a:solidFill>
                <a:schemeClr val="dk1"/>
              </a:solidFill>
              <a:effectLst/>
              <a:latin typeface="+mn-lt"/>
              <a:ea typeface="+mn-ea"/>
              <a:cs typeface="+mn-cs"/>
            </a:rPr>
            <a:t>Support for </a:t>
          </a:r>
          <a:r>
            <a:rPr lang="en-US" sz="1100" b="0" i="1" u="none" baseline="0">
              <a:solidFill>
                <a:schemeClr val="dk1"/>
              </a:solidFill>
              <a:effectLst/>
              <a:latin typeface="+mn-lt"/>
              <a:ea typeface="+mn-ea"/>
              <a:cs typeface="+mn-cs"/>
            </a:rPr>
            <a:t>employees&gt;Benefits&gt;</a:t>
          </a:r>
          <a:r>
            <a:rPr lang="en-US" sz="1100" b="0" i="1" u="sng" baseline="0">
              <a:solidFill>
                <a:srgbClr val="0000FF"/>
              </a:solidFill>
              <a:effectLst/>
              <a:latin typeface="+mn-lt"/>
              <a:ea typeface="+mn-ea"/>
              <a:cs typeface="+mn-cs"/>
            </a:rPr>
            <a:t>Eligibility</a:t>
          </a:r>
          <a:r>
            <a:rPr lang="en-US" sz="1100" b="0" i="0" u="none" baseline="0">
              <a:solidFill>
                <a:schemeClr val="dk1"/>
              </a:solidFill>
              <a:effectLst/>
              <a:latin typeface="+mn-lt"/>
              <a:ea typeface="+mn-ea"/>
              <a:cs typeface="+mn-cs"/>
            </a:rPr>
            <a:t>.</a:t>
          </a:r>
          <a:endParaRPr lang="en-US" u="none">
            <a:effectLst/>
          </a:endParaRP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nada.ca/en/revenue-agency/services/tax/businesses/topics/payroll/payroll-deductions-contributions/canada-pension-plan-cpp/cpp-enhancement.html" TargetMode="External"/><Relationship Id="rId7" Type="http://schemas.openxmlformats.org/officeDocument/2006/relationships/comments" Target="../comments1.xml"/><Relationship Id="rId2" Type="http://schemas.openxmlformats.org/officeDocument/2006/relationships/hyperlink" Target="http://www.cra-arc.gc.ca/esrvc-srvce/tx/bsnss/pdoc-eng.html" TargetMode="External"/><Relationship Id="rId1" Type="http://schemas.openxmlformats.org/officeDocument/2006/relationships/hyperlink" Target="http://www.cra-arc.gc.ca/esrvc-srvce/tx/bsnss/pdoc-eng.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54"/>
  <sheetViews>
    <sheetView showGridLines="0" tabSelected="1" topLeftCell="A11" workbookViewId="0">
      <selection activeCell="I22" sqref="I22"/>
    </sheetView>
  </sheetViews>
  <sheetFormatPr defaultColWidth="9.140625" defaultRowHeight="15" x14ac:dyDescent="0.25"/>
  <cols>
    <col min="2" max="2" width="37.5703125" customWidth="1"/>
    <col min="3" max="3" width="4.5703125" customWidth="1"/>
    <col min="4" max="4" width="4.7109375" customWidth="1"/>
    <col min="5" max="5" width="8.28515625" customWidth="1"/>
    <col min="6" max="6" width="6.42578125" customWidth="1"/>
    <col min="7" max="7" width="15.28515625" customWidth="1"/>
    <col min="8" max="8" width="2.5703125" customWidth="1"/>
    <col min="9" max="10" width="12.5703125" bestFit="1" customWidth="1"/>
    <col min="11" max="11" width="14.85546875" customWidth="1"/>
    <col min="12" max="12" width="11" customWidth="1"/>
    <col min="13" max="13" width="12.28515625" customWidth="1"/>
    <col min="15" max="16" width="10.140625" bestFit="1" customWidth="1"/>
    <col min="19" max="19" width="9.5703125" bestFit="1" customWidth="1"/>
  </cols>
  <sheetData>
    <row r="1" spans="1:14" ht="19.5" thickBot="1" x14ac:dyDescent="0.35">
      <c r="A1" s="42"/>
      <c r="B1" s="43" t="s">
        <v>0</v>
      </c>
      <c r="C1" s="43"/>
      <c r="D1" s="43"/>
      <c r="E1" s="43"/>
      <c r="F1" s="44"/>
      <c r="G1" s="44"/>
      <c r="H1" s="44"/>
      <c r="I1" s="44"/>
      <c r="J1" s="105"/>
      <c r="K1" s="108" t="s">
        <v>1</v>
      </c>
      <c r="L1" s="108"/>
      <c r="M1" s="106">
        <v>46023</v>
      </c>
      <c r="N1" s="45"/>
    </row>
    <row r="2" spans="1:14" x14ac:dyDescent="0.25">
      <c r="A2" s="46"/>
      <c r="J2" s="109" t="s">
        <v>2</v>
      </c>
      <c r="K2" s="110"/>
      <c r="L2" s="110"/>
      <c r="M2" s="106">
        <v>46143</v>
      </c>
      <c r="N2" s="47"/>
    </row>
    <row r="3" spans="1:14" x14ac:dyDescent="0.25">
      <c r="A3" s="46"/>
      <c r="N3" s="47"/>
    </row>
    <row r="4" spans="1:14" ht="48.75" customHeight="1" x14ac:dyDescent="0.25">
      <c r="A4" s="46"/>
      <c r="B4" s="111"/>
      <c r="C4" s="111"/>
      <c r="D4" s="111"/>
      <c r="E4" s="111"/>
      <c r="F4" s="111"/>
      <c r="G4" s="111"/>
      <c r="H4" s="111"/>
      <c r="I4" s="111"/>
      <c r="J4" s="111"/>
      <c r="K4" s="111"/>
      <c r="L4" s="111"/>
      <c r="M4" s="111"/>
      <c r="N4" s="47"/>
    </row>
    <row r="5" spans="1:14" x14ac:dyDescent="0.25">
      <c r="A5" s="46"/>
      <c r="B5" s="30"/>
      <c r="C5" s="30"/>
      <c r="D5" s="30"/>
      <c r="E5" s="30"/>
      <c r="F5" s="30"/>
      <c r="G5" s="30"/>
      <c r="H5" s="30"/>
      <c r="I5" s="30"/>
      <c r="J5" s="30"/>
      <c r="K5" s="30"/>
      <c r="L5" s="30"/>
      <c r="M5" s="30"/>
      <c r="N5" s="47"/>
    </row>
    <row r="6" spans="1:14" x14ac:dyDescent="0.25">
      <c r="A6" s="46"/>
      <c r="B6" s="2"/>
      <c r="N6" s="47"/>
    </row>
    <row r="7" spans="1:14" ht="29.25" customHeight="1" x14ac:dyDescent="0.25">
      <c r="A7" s="46"/>
      <c r="B7" s="111"/>
      <c r="C7" s="111"/>
      <c r="D7" s="111"/>
      <c r="E7" s="111"/>
      <c r="F7" s="111"/>
      <c r="G7" s="111"/>
      <c r="H7" s="111"/>
      <c r="I7" s="111"/>
      <c r="J7" s="111"/>
      <c r="K7" s="111"/>
      <c r="L7" s="111"/>
      <c r="M7" s="111"/>
      <c r="N7" s="47"/>
    </row>
    <row r="8" spans="1:14" x14ac:dyDescent="0.25">
      <c r="A8" s="46"/>
      <c r="N8" s="47"/>
    </row>
    <row r="9" spans="1:14" ht="29.25" customHeight="1" x14ac:dyDescent="0.25">
      <c r="A9" s="46"/>
      <c r="B9" s="111"/>
      <c r="C9" s="111"/>
      <c r="D9" s="111"/>
      <c r="E9" s="111"/>
      <c r="F9" s="111"/>
      <c r="G9" s="111"/>
      <c r="H9" s="111"/>
      <c r="I9" s="111"/>
      <c r="J9" s="111"/>
      <c r="K9" s="111"/>
      <c r="L9" s="111"/>
      <c r="M9" s="111"/>
      <c r="N9" s="47"/>
    </row>
    <row r="10" spans="1:14" x14ac:dyDescent="0.25">
      <c r="A10" s="46"/>
      <c r="N10" s="47"/>
    </row>
    <row r="11" spans="1:14" ht="45.75" customHeight="1" x14ac:dyDescent="0.25">
      <c r="A11" s="46"/>
      <c r="B11" s="112"/>
      <c r="C11" s="112"/>
      <c r="D11" s="112"/>
      <c r="E11" s="112"/>
      <c r="F11" s="112"/>
      <c r="G11" s="112"/>
      <c r="H11" s="112"/>
      <c r="I11" s="112"/>
      <c r="J11" s="112"/>
      <c r="K11" s="112"/>
      <c r="L11" s="112"/>
      <c r="M11" s="112"/>
      <c r="N11" s="47"/>
    </row>
    <row r="12" spans="1:14" ht="45" customHeight="1" x14ac:dyDescent="0.25">
      <c r="A12" s="46"/>
      <c r="B12" s="111"/>
      <c r="C12" s="111"/>
      <c r="D12" s="111"/>
      <c r="E12" s="111"/>
      <c r="F12" s="111"/>
      <c r="G12" s="111"/>
      <c r="H12" s="111"/>
      <c r="I12" s="111"/>
      <c r="J12" s="111"/>
      <c r="K12" s="111"/>
      <c r="L12" s="111"/>
      <c r="M12" s="111"/>
      <c r="N12" s="47"/>
    </row>
    <row r="13" spans="1:14" x14ac:dyDescent="0.25">
      <c r="A13" s="46"/>
      <c r="B13" s="111"/>
      <c r="C13" s="111"/>
      <c r="D13" s="111"/>
      <c r="E13" s="111"/>
      <c r="F13" s="111"/>
      <c r="G13" s="111"/>
      <c r="H13" s="111"/>
      <c r="I13" s="111"/>
      <c r="J13" s="111"/>
      <c r="K13" s="111"/>
      <c r="L13" s="111"/>
      <c r="M13" s="111"/>
      <c r="N13" s="47"/>
    </row>
    <row r="14" spans="1:14" x14ac:dyDescent="0.25">
      <c r="A14" s="46"/>
      <c r="B14" s="30"/>
      <c r="C14" s="30"/>
      <c r="D14" s="30"/>
      <c r="E14" s="30"/>
      <c r="F14" s="30"/>
      <c r="G14" s="30"/>
      <c r="H14" s="30"/>
      <c r="I14" s="30"/>
      <c r="J14" s="30"/>
      <c r="K14" s="30"/>
      <c r="L14" s="30"/>
      <c r="M14" s="30"/>
      <c r="N14" s="47"/>
    </row>
    <row r="15" spans="1:14" x14ac:dyDescent="0.25">
      <c r="A15" s="46"/>
      <c r="B15" s="112"/>
      <c r="C15" s="111"/>
      <c r="D15" s="111"/>
      <c r="E15" s="111"/>
      <c r="F15" s="111"/>
      <c r="G15" s="111"/>
      <c r="H15" s="111"/>
      <c r="I15" s="111"/>
      <c r="J15" s="111"/>
      <c r="K15" s="111"/>
      <c r="L15" s="111"/>
      <c r="M15" s="111"/>
      <c r="N15" s="47"/>
    </row>
    <row r="16" spans="1:14" ht="30" customHeight="1" x14ac:dyDescent="0.25">
      <c r="A16" s="46"/>
      <c r="B16" s="111"/>
      <c r="C16" s="111"/>
      <c r="D16" s="111"/>
      <c r="E16" s="111"/>
      <c r="F16" s="111"/>
      <c r="G16" s="111"/>
      <c r="H16" s="111"/>
      <c r="I16" s="111"/>
      <c r="J16" s="111"/>
      <c r="K16" s="111"/>
      <c r="L16" s="111"/>
      <c r="M16" s="111"/>
      <c r="N16" s="47"/>
    </row>
    <row r="17" spans="1:20" ht="15.75" thickBot="1" x14ac:dyDescent="0.3">
      <c r="A17" s="46"/>
      <c r="B17" s="57"/>
      <c r="N17" s="47"/>
    </row>
    <row r="18" spans="1:20" ht="34.5" customHeight="1" thickTop="1" x14ac:dyDescent="0.25">
      <c r="A18" s="118" t="s">
        <v>3</v>
      </c>
      <c r="B18" s="119"/>
      <c r="C18" s="119"/>
      <c r="D18" s="119"/>
      <c r="E18" s="119"/>
      <c r="F18" s="119"/>
      <c r="G18" s="119"/>
      <c r="H18" s="119"/>
      <c r="I18" s="119"/>
      <c r="J18" s="119"/>
      <c r="K18" s="119"/>
      <c r="L18" s="119"/>
      <c r="M18" s="119"/>
      <c r="N18" s="120"/>
    </row>
    <row r="19" spans="1:20" ht="34.5" customHeight="1" thickBot="1" x14ac:dyDescent="0.3">
      <c r="A19" s="46"/>
      <c r="I19" s="115"/>
      <c r="J19" s="115"/>
      <c r="L19" s="115"/>
      <c r="M19" s="115"/>
      <c r="N19" s="47"/>
    </row>
    <row r="20" spans="1:20" ht="34.5" customHeight="1" thickBot="1" x14ac:dyDescent="0.3">
      <c r="A20" s="46"/>
      <c r="I20" s="116" t="s">
        <v>4</v>
      </c>
      <c r="J20" s="117"/>
      <c r="L20" s="116" t="s">
        <v>5</v>
      </c>
      <c r="M20" s="117"/>
      <c r="N20" s="47"/>
    </row>
    <row r="21" spans="1:20" ht="45" x14ac:dyDescent="0.25">
      <c r="A21" s="46"/>
      <c r="I21" s="63" t="s">
        <v>6</v>
      </c>
      <c r="J21" s="64" t="s">
        <v>7</v>
      </c>
      <c r="L21" s="63" t="s">
        <v>8</v>
      </c>
      <c r="M21" s="64" t="s">
        <v>7</v>
      </c>
      <c r="N21" s="47"/>
    </row>
    <row r="22" spans="1:20" x14ac:dyDescent="0.25">
      <c r="A22" s="46"/>
      <c r="B22" s="2" t="s">
        <v>9</v>
      </c>
      <c r="C22" s="2"/>
      <c r="D22" s="2"/>
      <c r="E22" s="2"/>
      <c r="I22" s="95"/>
      <c r="J22" s="75">
        <f>I22*G24</f>
        <v>0</v>
      </c>
      <c r="K22" s="50" t="s">
        <v>10</v>
      </c>
      <c r="L22" s="96"/>
      <c r="M22" s="75">
        <f>I22*G24</f>
        <v>0</v>
      </c>
      <c r="N22" s="47"/>
      <c r="P22" s="5"/>
    </row>
    <row r="23" spans="1:20" x14ac:dyDescent="0.25">
      <c r="A23" s="46"/>
      <c r="B23" s="2" t="s">
        <v>11</v>
      </c>
      <c r="C23" s="2"/>
      <c r="D23" s="2"/>
      <c r="E23" s="2"/>
      <c r="G23" s="41"/>
      <c r="H23" s="61"/>
      <c r="I23" s="46"/>
      <c r="J23" s="47"/>
      <c r="K23" s="50" t="s">
        <v>12</v>
      </c>
      <c r="L23" s="46"/>
      <c r="M23" s="47"/>
      <c r="N23" s="47"/>
    </row>
    <row r="24" spans="1:20" x14ac:dyDescent="0.25">
      <c r="A24" s="46"/>
      <c r="B24" s="2" t="s">
        <v>13</v>
      </c>
      <c r="C24" s="2"/>
      <c r="D24" s="2"/>
      <c r="E24" s="2"/>
      <c r="G24" s="58"/>
      <c r="H24" s="73" t="s">
        <v>14</v>
      </c>
      <c r="J24" s="47"/>
      <c r="L24" s="46"/>
      <c r="M24" s="47"/>
      <c r="N24" s="47"/>
    </row>
    <row r="25" spans="1:20" x14ac:dyDescent="0.25">
      <c r="A25" s="46"/>
      <c r="B25" s="2" t="s">
        <v>15</v>
      </c>
      <c r="C25" s="2"/>
      <c r="D25" s="2"/>
      <c r="E25" s="2"/>
      <c r="G25" s="58"/>
      <c r="H25" s="73" t="s">
        <v>14</v>
      </c>
      <c r="I25" s="46"/>
      <c r="J25" s="47"/>
      <c r="L25" s="46"/>
      <c r="M25" s="47"/>
      <c r="N25" s="47"/>
    </row>
    <row r="26" spans="1:20" x14ac:dyDescent="0.25">
      <c r="A26" s="46"/>
      <c r="B26" s="2"/>
      <c r="C26" s="2"/>
      <c r="D26" s="2"/>
      <c r="E26" s="2"/>
      <c r="G26" s="20"/>
      <c r="H26" s="62"/>
      <c r="I26" s="63"/>
      <c r="J26" s="47"/>
      <c r="L26" s="46"/>
      <c r="M26" s="47"/>
      <c r="N26" s="47"/>
    </row>
    <row r="27" spans="1:20" x14ac:dyDescent="0.25">
      <c r="A27" s="46"/>
      <c r="B27" s="2" t="s">
        <v>16</v>
      </c>
      <c r="C27" s="2"/>
      <c r="D27" s="2"/>
      <c r="E27" s="2"/>
      <c r="G27" s="58"/>
      <c r="H27" s="73" t="s">
        <v>14</v>
      </c>
      <c r="I27" s="65">
        <f>IF(G27="",0,IF(G27="No",0,I22*0.04))</f>
        <v>0</v>
      </c>
      <c r="J27" s="66">
        <f>I27*G24</f>
        <v>0</v>
      </c>
      <c r="L27" s="65">
        <f>IF(G27="",0,IF(G27="No",0,I22*0.04))</f>
        <v>0</v>
      </c>
      <c r="M27" s="66">
        <f>L27*G24</f>
        <v>0</v>
      </c>
      <c r="N27" s="47"/>
    </row>
    <row r="28" spans="1:20" x14ac:dyDescent="0.25">
      <c r="A28" s="46"/>
      <c r="B28" s="2"/>
      <c r="C28" s="2"/>
      <c r="D28" s="2"/>
      <c r="E28" s="2"/>
      <c r="G28" s="20" t="s">
        <v>17</v>
      </c>
      <c r="H28" s="62"/>
      <c r="I28" s="46"/>
      <c r="J28" s="47"/>
      <c r="L28" s="46"/>
      <c r="M28" s="47"/>
      <c r="N28" s="47"/>
    </row>
    <row r="29" spans="1:20" x14ac:dyDescent="0.25">
      <c r="A29" s="46"/>
      <c r="B29" s="2" t="s">
        <v>18</v>
      </c>
      <c r="C29" s="2"/>
      <c r="D29" s="2"/>
      <c r="E29" s="2"/>
      <c r="G29" s="58"/>
      <c r="H29" s="73" t="s">
        <v>14</v>
      </c>
      <c r="I29" s="65">
        <f>IF(G29="",0,(IF(G29="No",0,(IF(OR(G23=1,G23&gt;0.87),0,IF(G25="Family",'Rates Sheet'!B41*(1-G23),IF(G25="Single",'Rates Sheet'!C41*(1-G23),0)))))))</f>
        <v>0</v>
      </c>
      <c r="J29" s="66">
        <f>I29*G24</f>
        <v>0</v>
      </c>
      <c r="L29" s="65">
        <f>IF(G29="",0,IF(G29="No",0,IF(G25="Family",'Rates Sheet'!B41*G23,IF(G25="Single",'Rates Sheet'!C41*G23,0))))</f>
        <v>0</v>
      </c>
      <c r="M29" s="66">
        <f>L29*G24</f>
        <v>0</v>
      </c>
      <c r="N29" s="47"/>
      <c r="P29" s="83"/>
      <c r="Q29" s="83"/>
      <c r="R29" s="83"/>
      <c r="S29" s="5"/>
    </row>
    <row r="30" spans="1:20" x14ac:dyDescent="0.25">
      <c r="A30" s="46"/>
      <c r="B30" s="2" t="s">
        <v>19</v>
      </c>
      <c r="C30" s="2"/>
      <c r="D30" s="2"/>
      <c r="E30" s="2"/>
      <c r="G30" s="58"/>
      <c r="H30" s="73" t="s">
        <v>14</v>
      </c>
      <c r="I30" s="65">
        <f>IF(OR(G23=1,G23&gt;0.87),0,IF(G30="",0,IF(G30="No",0,IF(G25="Family",'Rates Sheet'!B42*(1-G23),IF(G25="Single",'Rates Sheet'!C42*(1-G23),0)))))</f>
        <v>0</v>
      </c>
      <c r="J30" s="66">
        <f>I30*G24</f>
        <v>0</v>
      </c>
      <c r="L30" s="65">
        <f>IF(G30="",0,IF(G30="No",0,IF(G25="Family",'Rates Sheet'!B42*G23,IF(G25="Single",'Rates Sheet'!C42*G23,0))))</f>
        <v>0</v>
      </c>
      <c r="M30" s="66">
        <f>L30*G24</f>
        <v>0</v>
      </c>
      <c r="N30" s="47"/>
      <c r="P30" s="83"/>
      <c r="Q30" s="83"/>
      <c r="R30" s="83"/>
      <c r="S30" s="5"/>
    </row>
    <row r="31" spans="1:20" x14ac:dyDescent="0.25">
      <c r="A31" s="46"/>
      <c r="B31" s="2" t="s">
        <v>20</v>
      </c>
      <c r="C31" s="2"/>
      <c r="D31" s="2"/>
      <c r="E31" s="2"/>
      <c r="G31" s="58"/>
      <c r="H31" s="73" t="s">
        <v>14</v>
      </c>
      <c r="I31" s="65">
        <f>IF(G31="",0,IF(G31="No",0,MIN('Rates Sheet'!B47,(Calculator!I22*'Rates Sheet'!B46))))</f>
        <v>0</v>
      </c>
      <c r="J31" s="75">
        <f>I31*G24</f>
        <v>0</v>
      </c>
      <c r="L31" s="67"/>
      <c r="M31" s="68"/>
      <c r="N31" s="47"/>
      <c r="O31" s="83"/>
      <c r="P31" s="83"/>
      <c r="Q31" s="83"/>
      <c r="R31" s="83"/>
      <c r="S31" s="5"/>
    </row>
    <row r="32" spans="1:20" x14ac:dyDescent="0.25">
      <c r="A32" s="46"/>
      <c r="B32" s="2" t="s">
        <v>21</v>
      </c>
      <c r="C32" s="2" t="s">
        <v>22</v>
      </c>
      <c r="D32" s="2" t="s">
        <v>23</v>
      </c>
      <c r="E32" s="2" t="s">
        <v>24</v>
      </c>
      <c r="F32" s="2" t="s">
        <v>25</v>
      </c>
      <c r="G32" s="58"/>
      <c r="H32" s="73" t="s">
        <v>14</v>
      </c>
      <c r="I32" s="65">
        <f>IF(G32="Yes",(MIN(('Rates Sheet'!B55/12),(IF(I22&lt;('Rates Sheet'!B13/12),I22*('Rates Sheet'!B57/100),IF(I22&lt;(('Rates Sheet'!B13/12)*2),((('Rates Sheet'!B13/12)*('Rates Sheet'!B57/100))+((I22-('Rates Sheet'!B13/12))*('Rates Sheet'!B58/100))),IF(I22&lt;('Rates Sheet'!A59/12),(('Rates Sheet'!B13/12)*('Rates Sheet'!B57/100))+(('Rates Sheet'!B13/12)*('Rates Sheet'!B58/100))+((I22-(('Rates Sheet'!B13/12)*2))*('Rates Sheet'!B59/100)),('Rates Sheet'!B55/12))))))),0)</f>
        <v>0</v>
      </c>
      <c r="J32" s="66">
        <f>I32*G24</f>
        <v>0</v>
      </c>
      <c r="L32" s="65">
        <f>IF(G32="Yes",(MIN((('Rates Sheet'!B55/12)*'Rates Sheet'!B54),(IF(I22&lt;('Rates Sheet'!B13/12),I22*('Rates Sheet'!B57/100),IF(I22&lt;(('Rates Sheet'!B13/12)*2),((('Rates Sheet'!B13/12)*('Rates Sheet'!B57/100))+((I22-('Rates Sheet'!B13/12))*('Rates Sheet'!B58/100))),IF(I22&lt;('Rates Sheet'!A59/12),(('Rates Sheet'!B13/12)*('Rates Sheet'!B57/100))+(('Rates Sheet'!B13/12)*('Rates Sheet'!B58/100))+((I22-(('Rates Sheet'!B13/12)*2))*('Rates Sheet'!B59/100)),('Rates Sheet'!B55/12)*'Rates Sheet'!B54)))*'Rates Sheet'!B54))),0)</f>
        <v>0</v>
      </c>
      <c r="M32" s="66">
        <f>L32*G24</f>
        <v>0</v>
      </c>
      <c r="N32" s="47"/>
      <c r="O32" s="83"/>
      <c r="P32" s="83"/>
      <c r="Q32" s="83"/>
      <c r="R32" s="83"/>
      <c r="S32" s="5"/>
      <c r="T32" s="5"/>
    </row>
    <row r="33" spans="1:21" x14ac:dyDescent="0.25">
      <c r="A33" s="46"/>
      <c r="B33" s="2" t="s">
        <v>26</v>
      </c>
      <c r="C33" s="36"/>
      <c r="D33" s="36"/>
      <c r="E33" s="37"/>
      <c r="F33" s="59"/>
      <c r="G33" s="58"/>
      <c r="H33" s="73" t="s">
        <v>14</v>
      </c>
      <c r="I33" s="65">
        <f>IF(G33="No",0,(IF(G33="",0,(IF(F33=1,0,(IF(F33=2,((I22*12)/1000)*'Rates Sheet'!B50,(IF(F33=3,(((I22*12)/1000)*'Rates Sheet'!B50)+(((I22*12)/1000)*'Rates Sheet'!B51),0)))))))))</f>
        <v>0</v>
      </c>
      <c r="J33" s="66">
        <f>I33*G24</f>
        <v>0</v>
      </c>
      <c r="L33" s="65">
        <f>IF(G33="No",0,(IF(G33="",0,(IF(F33=1,(((I22*12)/1000)*'Rates Sheet'!C49),(IF(F33=2,(((I22*12)/1000)*'Rates Sheet'!C49)+(((I22*12/1000)*'Rates Sheet'!C50)),(IF(F33=3,(((I22*12)/1000)*'Rates Sheet'!C49)+(((I22*12)/1000)*'Rates Sheet'!C50)+(((I22*12)/1000)*'Rates Sheet'!C51),0)))))))))</f>
        <v>0</v>
      </c>
      <c r="M33" s="66">
        <f>L33*G24</f>
        <v>0</v>
      </c>
      <c r="N33" s="47"/>
      <c r="O33" s="94"/>
      <c r="P33" s="94"/>
      <c r="Q33" s="94"/>
      <c r="R33" s="83"/>
      <c r="S33" s="83"/>
      <c r="T33" s="5"/>
      <c r="U33" s="5"/>
    </row>
    <row r="34" spans="1:21" x14ac:dyDescent="0.25">
      <c r="A34" s="46"/>
      <c r="B34" s="2" t="s">
        <v>27</v>
      </c>
      <c r="C34" s="60"/>
      <c r="D34" s="60"/>
      <c r="E34" s="60"/>
      <c r="F34" s="59"/>
      <c r="G34" s="58"/>
      <c r="H34" s="73" t="s">
        <v>14</v>
      </c>
      <c r="I34" s="65">
        <f>IF(G34="No",0,(IF(G34="",0,IF(F34=4,'Optional &amp; Spousal Life Rates'!B16,IF(F34=5,('Optional &amp; Spousal Life Rates'!B16*2),IF(F34=6,'Optional &amp; Spousal Life Rates'!B16*3,0))))))</f>
        <v>0</v>
      </c>
      <c r="J34" s="66">
        <f>I34*G24</f>
        <v>0</v>
      </c>
      <c r="L34" s="67"/>
      <c r="M34" s="68"/>
      <c r="N34" s="47"/>
      <c r="O34" s="94"/>
      <c r="P34" s="94"/>
      <c r="Q34" s="83"/>
      <c r="R34" s="83"/>
      <c r="S34" s="5"/>
      <c r="T34" s="5"/>
      <c r="U34" s="5"/>
    </row>
    <row r="35" spans="1:21" x14ac:dyDescent="0.25">
      <c r="A35" s="46"/>
      <c r="B35" s="2" t="s">
        <v>28</v>
      </c>
      <c r="C35" s="60"/>
      <c r="D35" s="60"/>
      <c r="E35" s="60"/>
      <c r="F35" s="59"/>
      <c r="G35" s="58"/>
      <c r="H35" s="73" t="s">
        <v>14</v>
      </c>
      <c r="I35" s="65">
        <f>IF(OR(G35="",G35="No"),0,IF(((I22*12)*F35)&gt;200000,(200000/(I22*12))*'Optional &amp; Spousal Life Rates'!B29,IF(F35=1,'Optional &amp; Spousal Life Rates'!B29,IF(F35=2,2*'Optional &amp; Spousal Life Rates'!B29,IF(F35=3,3*'Optional &amp; Spousal Life Rates'!B29,IF(F35=4,4*'Optional &amp; Spousal Life Rates'!B29,IF(F35=5,5*'Optional &amp; Spousal Life Rates'!B29,IF(F35=6,6*'Optional &amp; Spousal Life Rates'!B29,0))))))))</f>
        <v>0</v>
      </c>
      <c r="J35" s="66">
        <f>I35*G24</f>
        <v>0</v>
      </c>
      <c r="L35" s="67"/>
      <c r="M35" s="68"/>
      <c r="N35" s="47"/>
      <c r="O35" s="94"/>
      <c r="P35" s="94"/>
      <c r="Q35" s="83"/>
      <c r="R35" s="83"/>
      <c r="S35" s="5"/>
    </row>
    <row r="36" spans="1:21" x14ac:dyDescent="0.25">
      <c r="A36" s="46"/>
      <c r="B36" s="84" t="s">
        <v>29</v>
      </c>
      <c r="C36" s="4"/>
      <c r="D36" s="4"/>
      <c r="E36" s="4"/>
      <c r="F36" s="49"/>
      <c r="G36" s="49"/>
      <c r="H36" s="48"/>
      <c r="I36" s="46"/>
      <c r="J36" s="47"/>
      <c r="L36" s="46"/>
      <c r="M36" s="47"/>
      <c r="N36" s="47"/>
      <c r="S36" s="5"/>
      <c r="T36" s="5"/>
      <c r="U36" s="5"/>
    </row>
    <row r="37" spans="1:21" x14ac:dyDescent="0.25">
      <c r="A37" s="46"/>
      <c r="B37" s="2" t="s">
        <v>30</v>
      </c>
      <c r="C37" s="2"/>
      <c r="D37" s="2"/>
      <c r="E37" s="2"/>
      <c r="I37" s="63"/>
      <c r="J37" s="64"/>
      <c r="L37" s="63"/>
      <c r="M37" s="64"/>
      <c r="N37" s="47"/>
    </row>
    <row r="38" spans="1:21" x14ac:dyDescent="0.25">
      <c r="A38" s="46"/>
      <c r="B38" s="50" t="s">
        <v>31</v>
      </c>
      <c r="C38" s="113" t="s">
        <v>32</v>
      </c>
      <c r="D38" s="114"/>
      <c r="E38" s="114"/>
      <c r="F38" s="114"/>
      <c r="G38" s="114"/>
      <c r="H38" s="74"/>
      <c r="I38" s="76"/>
      <c r="J38" s="77">
        <f>I38*G24</f>
        <v>0</v>
      </c>
      <c r="L38" s="69"/>
      <c r="M38" s="70"/>
      <c r="N38" s="47"/>
      <c r="P38" s="5"/>
    </row>
    <row r="39" spans="1:21" x14ac:dyDescent="0.25">
      <c r="A39" s="46"/>
      <c r="B39" s="50" t="s">
        <v>33</v>
      </c>
      <c r="C39" s="113" t="s">
        <v>32</v>
      </c>
      <c r="D39" s="114"/>
      <c r="E39" s="114"/>
      <c r="F39" s="114"/>
      <c r="G39" s="114"/>
      <c r="H39" s="74"/>
      <c r="I39" s="76"/>
      <c r="J39" s="77">
        <f>I39*G24</f>
        <v>0</v>
      </c>
      <c r="L39" s="69"/>
      <c r="M39" s="70"/>
      <c r="N39" s="47"/>
      <c r="P39" s="5"/>
    </row>
    <row r="40" spans="1:21" x14ac:dyDescent="0.25">
      <c r="A40" s="46"/>
      <c r="B40" s="50" t="s">
        <v>34</v>
      </c>
      <c r="C40" s="50"/>
      <c r="D40" s="50"/>
      <c r="E40" s="50"/>
      <c r="I40" s="65">
        <f>IF(I22=0,0,((I22+I27+L33)-('Rates Sheet'!B14/12))*'Rates Sheet'!B15)</f>
        <v>0</v>
      </c>
      <c r="J40" s="66">
        <f>IF(((I40*G24)&gt;'Rates Sheet'!B16),'Rates Sheet'!B16,(I40*G24))</f>
        <v>0</v>
      </c>
      <c r="L40" s="65">
        <f>IF(I22=0,0,((I22+L33+L27)-('Rates Sheet'!B14/12))*'Rates Sheet'!B15)</f>
        <v>0</v>
      </c>
      <c r="M40" s="66">
        <f>IF(((L40*G24)&gt;'Rates Sheet'!B16),'Rates Sheet'!B16,(L40*G24))</f>
        <v>0</v>
      </c>
      <c r="N40" s="47"/>
    </row>
    <row r="41" spans="1:21" x14ac:dyDescent="0.25">
      <c r="A41" s="46"/>
      <c r="B41" s="50" t="s">
        <v>35</v>
      </c>
      <c r="C41" s="50"/>
      <c r="D41" s="50"/>
      <c r="E41" s="50"/>
      <c r="I41" s="65">
        <f>IF(J40&gt;='Rates Sheet'!B16, IF((((I22+I27+L33)-('Rates Sheet'!B13/12))*'Rates Sheet'!B21)&gt;='Rates Sheet'!B22, 'Rates Sheet'!B22, ((I22+I27+L33)-('Rates Sheet'!B13/12))*'Rates Sheet'!B21),0)</f>
        <v>0</v>
      </c>
      <c r="J41" s="66">
        <f>IF(I41&gt;0, IF(J22&gt;='Rates Sheet'!B19, 'Rates Sheet'!B22, (Calculator!J22-'Rates Sheet'!B13)*'Rates Sheet'!B21), 0)</f>
        <v>0</v>
      </c>
      <c r="L41" s="65">
        <f>I41</f>
        <v>0</v>
      </c>
      <c r="M41" s="66">
        <f>J41</f>
        <v>0</v>
      </c>
      <c r="N41" s="47"/>
    </row>
    <row r="42" spans="1:21" x14ac:dyDescent="0.25">
      <c r="A42" s="46"/>
      <c r="B42" s="50" t="s">
        <v>36</v>
      </c>
      <c r="C42" s="50"/>
      <c r="D42" s="50"/>
      <c r="E42" s="50"/>
      <c r="I42" s="65">
        <f>IF(I22=0,0,((I22+I27)*'Rates Sheet'!B26))</f>
        <v>0</v>
      </c>
      <c r="J42" s="66">
        <f>IF(((I42*G24)&gt;'Rates Sheet'!B25*'Rates Sheet'!B26),'Rates Sheet'!B25*'Rates Sheet'!B26,(I42*G24))</f>
        <v>0</v>
      </c>
      <c r="L42" s="65">
        <f>IF(G31="",((I22+L27)*'Rates Sheet'!B26*'Rates Sheet'!B27),IF(G31="No",((I22+L27)*'Rates Sheet'!B26*'Rates Sheet'!B27),(I22+L27)*'Rates Sheet'!B26*'Rates Sheet'!B28))</f>
        <v>0</v>
      </c>
      <c r="M42" s="66">
        <f>IF(AND(G31="Yes",((L42*G24)&gt;'Rates Sheet'!B30)),'Rates Sheet'!B30,IF((L42*G24)&gt;'Rates Sheet'!B29,'Rates Sheet'!B29,L42*G24))</f>
        <v>0</v>
      </c>
      <c r="N42" s="47"/>
    </row>
    <row r="43" spans="1:21" x14ac:dyDescent="0.25">
      <c r="A43" s="46"/>
      <c r="B43" s="50" t="s">
        <v>37</v>
      </c>
      <c r="C43" s="50"/>
      <c r="D43" s="50"/>
      <c r="E43" s="50"/>
      <c r="I43" s="78"/>
      <c r="J43" s="79"/>
      <c r="L43" s="65">
        <f>(I22+L27+L33)*'Rates Sheet'!B34</f>
        <v>0</v>
      </c>
      <c r="M43" s="66">
        <f>IF(((L43*G24)&gt;'Rates Sheet'!B35),'Rates Sheet'!B35,(L43*G24))</f>
        <v>0</v>
      </c>
      <c r="N43" s="47"/>
    </row>
    <row r="44" spans="1:21" x14ac:dyDescent="0.25">
      <c r="A44" s="46"/>
      <c r="B44" s="50" t="s">
        <v>38</v>
      </c>
      <c r="C44" s="50"/>
      <c r="D44" s="50"/>
      <c r="E44" s="50"/>
      <c r="I44" s="78"/>
      <c r="J44" s="79"/>
      <c r="L44" s="65">
        <f>(I22+L27+L33)*'Rates Sheet'!B38</f>
        <v>0</v>
      </c>
      <c r="M44" s="66">
        <f>L44*G24</f>
        <v>0</v>
      </c>
      <c r="N44" s="47"/>
    </row>
    <row r="45" spans="1:21" ht="30.75" customHeight="1" thickBot="1" x14ac:dyDescent="0.3">
      <c r="A45" s="46"/>
      <c r="B45" s="2" t="s">
        <v>39</v>
      </c>
      <c r="C45" s="2"/>
      <c r="D45" s="2"/>
      <c r="E45" s="2"/>
      <c r="G45" s="51"/>
      <c r="H45" s="51"/>
      <c r="I45" s="71">
        <f>+I22+I27-I29-I30-I31-I32-I33-I34-I35-I38-I39-I40-I41-I42</f>
        <v>0</v>
      </c>
      <c r="J45" s="72">
        <f>+J22+J27-J29-J30-J31-J32-J33-J34-J35-J38-J39-J40-J41-J42</f>
        <v>0</v>
      </c>
      <c r="K45" s="80" t="s">
        <v>40</v>
      </c>
      <c r="L45" s="71">
        <f>+L27+L29+L30+L32+L33+L40+L41+L42+L43+L44</f>
        <v>0</v>
      </c>
      <c r="M45" s="72">
        <f>+M27+M29+M30+M32+M33+M40+M41+M42+M43+M44</f>
        <v>0</v>
      </c>
      <c r="N45" s="47"/>
    </row>
    <row r="46" spans="1:21" ht="33.75" customHeight="1" thickBot="1" x14ac:dyDescent="0.3">
      <c r="A46" s="46"/>
      <c r="K46" s="99" t="s">
        <v>122</v>
      </c>
      <c r="M46" s="100">
        <f>M22+M45</f>
        <v>0</v>
      </c>
      <c r="N46" s="47"/>
    </row>
    <row r="47" spans="1:21" x14ac:dyDescent="0.25">
      <c r="A47" s="46"/>
      <c r="B47" t="s">
        <v>41</v>
      </c>
      <c r="C47" s="4"/>
      <c r="D47" s="4"/>
      <c r="E47" s="4"/>
      <c r="N47" s="47"/>
    </row>
    <row r="48" spans="1:21" ht="33" customHeight="1" x14ac:dyDescent="0.25">
      <c r="A48" s="46"/>
      <c r="B48" s="107" t="s">
        <v>121</v>
      </c>
      <c r="C48" s="107"/>
      <c r="D48" s="107"/>
      <c r="E48" s="107"/>
      <c r="F48" s="107"/>
      <c r="G48" s="107"/>
      <c r="H48" s="107"/>
      <c r="I48" s="107"/>
      <c r="J48" s="107"/>
      <c r="K48" s="107"/>
      <c r="N48" s="47"/>
    </row>
    <row r="49" spans="1:14" ht="15.75" thickBot="1" x14ac:dyDescent="0.3">
      <c r="A49" s="52"/>
      <c r="B49" s="53"/>
      <c r="C49" s="53"/>
      <c r="D49" s="53"/>
      <c r="E49" s="53"/>
      <c r="F49" s="53"/>
      <c r="G49" s="53"/>
      <c r="H49" s="53"/>
      <c r="I49" s="53"/>
      <c r="J49" s="53"/>
      <c r="K49" s="53"/>
      <c r="L49" s="53"/>
      <c r="M49" s="53"/>
      <c r="N49" s="54"/>
    </row>
    <row r="54" spans="1:14" x14ac:dyDescent="0.25">
      <c r="I54" s="3"/>
    </row>
  </sheetData>
  <sheetProtection algorithmName="SHA-512" hashValue="wkbqzofd/dCepoq5lwZHHxdCOzf4P3DhNZYGVRPgchBcDc3A/KnqgFN5voudFSBQVVg0lpxVFsQTJMUtIYx7PA==" saltValue="jdfdwYIJZUIMJmCe4YbL/w==" spinCount="100000" sheet="1" selectLockedCells="1"/>
  <mergeCells count="18">
    <mergeCell ref="L20:M20"/>
    <mergeCell ref="A18:N18"/>
    <mergeCell ref="B48:K48"/>
    <mergeCell ref="K1:L1"/>
    <mergeCell ref="J2:L2"/>
    <mergeCell ref="B4:M4"/>
    <mergeCell ref="B7:M7"/>
    <mergeCell ref="B9:M9"/>
    <mergeCell ref="B11:M11"/>
    <mergeCell ref="C38:G38"/>
    <mergeCell ref="C39:G39"/>
    <mergeCell ref="B12:M12"/>
    <mergeCell ref="B13:M13"/>
    <mergeCell ref="B15:M15"/>
    <mergeCell ref="B16:M16"/>
    <mergeCell ref="L19:M19"/>
    <mergeCell ref="I19:J19"/>
    <mergeCell ref="I20:J20"/>
  </mergeCells>
  <dataValidations count="4">
    <dataValidation type="whole" allowBlank="1" showInputMessage="1" showErrorMessage="1" sqref="C35" xr:uid="{00000000-0002-0000-0000-000000000000}">
      <formula1>0</formula1>
      <formula2>69</formula2>
    </dataValidation>
    <dataValidation type="whole" allowBlank="1" showInputMessage="1" showErrorMessage="1" error="Please record age in whole years only" sqref="C34" xr:uid="{00000000-0002-0000-0000-000001000000}">
      <formula1>0</formula1>
      <formula2>69</formula2>
    </dataValidation>
    <dataValidation type="decimal" allowBlank="1" showInputMessage="1" showErrorMessage="1" error="The FTE cannot exceed 1." sqref="G23:H23" xr:uid="{00000000-0002-0000-0000-000002000000}">
      <formula1>0</formula1>
      <formula2>1</formula2>
    </dataValidation>
    <dataValidation allowBlank="1" showInputMessage="1" showErrorMessage="1" prompt="Select the cell to the left to activate the drop-down menu." sqref="H24:H25 H27 H29:H35" xr:uid="{00000000-0002-0000-0000-000003000000}"/>
  </dataValidations>
  <hyperlinks>
    <hyperlink ref="C38:G38" r:id="rId1" display="Use the CRA's PDOC to obtain this amount" xr:uid="{00000000-0004-0000-0000-000000000000}"/>
    <hyperlink ref="C39:G39" r:id="rId2" display="Use the CRA's PDOC to obtain this amount" xr:uid="{00000000-0004-0000-0000-000001000000}"/>
    <hyperlink ref="B48:K48" r:id="rId3" display="Employee Net Pay Estimation: CPP2 contribution will only begin once CPP annual maximum of $4,034.10 is reached. For more on how CPP and CPP2 are calculated, please check the CRA Website. " xr:uid="{3D80B383-2501-49D4-BA17-ABA78218891A}"/>
  </hyperlinks>
  <pageMargins left="0.7" right="0.7" top="0.75" bottom="0.75" header="0.3" footer="0.3"/>
  <pageSetup scale="57" orientation="portrait" r:id="rId4"/>
  <drawing r:id="rId5"/>
  <legacyDrawing r:id="rId6"/>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4000000}">
          <x14:formula1>
            <xm:f>'Rates Sheet'!$A$66:$A$67</xm:f>
          </x14:formula1>
          <xm:sqref>G29:G35 G27 E34:E35</xm:sqref>
        </x14:dataValidation>
        <x14:dataValidation type="list" allowBlank="1" showInputMessage="1" showErrorMessage="1" xr:uid="{00000000-0002-0000-0000-000005000000}">
          <x14:formula1>
            <xm:f>'Rates Sheet'!$A$70:$A$81</xm:f>
          </x14:formula1>
          <xm:sqref>G24</xm:sqref>
        </x14:dataValidation>
        <x14:dataValidation type="list" allowBlank="1" showInputMessage="1" showErrorMessage="1" xr:uid="{00000000-0002-0000-0000-000006000000}">
          <x14:formula1>
            <xm:f>'Rates Sheet'!$A$62:$A$63</xm:f>
          </x14:formula1>
          <xm:sqref>G25</xm:sqref>
        </x14:dataValidation>
        <x14:dataValidation type="list" allowBlank="1" showInputMessage="1" showErrorMessage="1" xr:uid="{00000000-0002-0000-0000-000007000000}">
          <x14:formula1>
            <xm:f>'Rates Sheet'!$A$84:$A$86</xm:f>
          </x14:formula1>
          <xm:sqref>F33</xm:sqref>
        </x14:dataValidation>
        <x14:dataValidation type="list" allowBlank="1" showInputMessage="1" showErrorMessage="1" xr:uid="{00000000-0002-0000-0000-000008000000}">
          <x14:formula1>
            <xm:f>'Rates Sheet'!$A$87:$A$89</xm:f>
          </x14:formula1>
          <xm:sqref>F34</xm:sqref>
        </x14:dataValidation>
        <x14:dataValidation type="list" allowBlank="1" showInputMessage="1" showErrorMessage="1" xr:uid="{00000000-0002-0000-0000-000009000000}">
          <x14:formula1>
            <xm:f>'Rates Sheet'!$A$84:$A$89</xm:f>
          </x14:formula1>
          <xm:sqref>F35</xm:sqref>
        </x14:dataValidation>
        <x14:dataValidation type="list" allowBlank="1" showInputMessage="1" showErrorMessage="1" xr:uid="{00000000-0002-0000-0000-00000A000000}">
          <x14:formula1>
            <xm:f>'Rates Sheet'!$A$92:$A$93</xm:f>
          </x14:formula1>
          <xm:sqref>D34:D35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93"/>
  <sheetViews>
    <sheetView topLeftCell="A30" zoomScaleNormal="100" workbookViewId="0">
      <selection activeCell="M52" sqref="M52"/>
    </sheetView>
  </sheetViews>
  <sheetFormatPr defaultRowHeight="15" x14ac:dyDescent="0.25"/>
  <cols>
    <col min="1" max="1" width="46.28515625" customWidth="1"/>
    <col min="2" max="2" width="12.5703125" bestFit="1" customWidth="1"/>
    <col min="3" max="3" width="11.42578125" bestFit="1" customWidth="1"/>
    <col min="4" max="4" width="10.5703125" bestFit="1" customWidth="1"/>
    <col min="5" max="6" width="11.5703125" bestFit="1" customWidth="1"/>
    <col min="7" max="7" width="12.5703125" customWidth="1"/>
  </cols>
  <sheetData>
    <row r="1" spans="1:2" ht="18.75" x14ac:dyDescent="0.3">
      <c r="A1" s="9" t="s">
        <v>42</v>
      </c>
    </row>
    <row r="3" spans="1:2" x14ac:dyDescent="0.25">
      <c r="A3" t="s">
        <v>43</v>
      </c>
      <c r="B3" s="85">
        <v>46023</v>
      </c>
    </row>
    <row r="5" spans="1:2" x14ac:dyDescent="0.25">
      <c r="A5" t="s">
        <v>44</v>
      </c>
    </row>
    <row r="6" spans="1:2" x14ac:dyDescent="0.25">
      <c r="A6" t="s">
        <v>45</v>
      </c>
    </row>
    <row r="7" spans="1:2" x14ac:dyDescent="0.25">
      <c r="A7" t="s">
        <v>46</v>
      </c>
    </row>
    <row r="10" spans="1:2" ht="15.75" x14ac:dyDescent="0.25">
      <c r="A10" s="11" t="s">
        <v>47</v>
      </c>
    </row>
    <row r="12" spans="1:2" x14ac:dyDescent="0.25">
      <c r="A12" s="2" t="s">
        <v>48</v>
      </c>
    </row>
    <row r="13" spans="1:2" x14ac:dyDescent="0.25">
      <c r="A13" s="4" t="s">
        <v>49</v>
      </c>
      <c r="B13" s="86">
        <v>74600</v>
      </c>
    </row>
    <row r="14" spans="1:2" x14ac:dyDescent="0.25">
      <c r="A14" s="4" t="s">
        <v>50</v>
      </c>
      <c r="B14" s="86">
        <v>3500</v>
      </c>
    </row>
    <row r="15" spans="1:2" x14ac:dyDescent="0.25">
      <c r="A15" s="4" t="s">
        <v>51</v>
      </c>
      <c r="B15" s="87">
        <v>5.9499999999999997E-2</v>
      </c>
    </row>
    <row r="16" spans="1:2" x14ac:dyDescent="0.25">
      <c r="A16" s="4" t="s">
        <v>52</v>
      </c>
      <c r="B16" s="1">
        <f>(B13-B14)*B15</f>
        <v>4230.45</v>
      </c>
    </row>
    <row r="17" spans="1:4" x14ac:dyDescent="0.25">
      <c r="A17" s="4"/>
      <c r="B17" s="1"/>
    </row>
    <row r="18" spans="1:4" x14ac:dyDescent="0.25">
      <c r="A18" s="2" t="s">
        <v>53</v>
      </c>
      <c r="B18" s="1"/>
    </row>
    <row r="19" spans="1:4" x14ac:dyDescent="0.25">
      <c r="A19" s="4" t="s">
        <v>54</v>
      </c>
      <c r="B19" s="97">
        <v>85000</v>
      </c>
    </row>
    <row r="20" spans="1:4" x14ac:dyDescent="0.25">
      <c r="A20" s="4" t="s">
        <v>55</v>
      </c>
      <c r="B20" s="1">
        <f>B19-B13</f>
        <v>10400</v>
      </c>
    </row>
    <row r="21" spans="1:4" x14ac:dyDescent="0.25">
      <c r="A21" s="4" t="s">
        <v>51</v>
      </c>
      <c r="B21" s="98">
        <v>0.04</v>
      </c>
    </row>
    <row r="22" spans="1:4" x14ac:dyDescent="0.25">
      <c r="A22" s="4" t="s">
        <v>52</v>
      </c>
      <c r="B22" s="83">
        <f>B20*B21</f>
        <v>416</v>
      </c>
    </row>
    <row r="24" spans="1:4" x14ac:dyDescent="0.25">
      <c r="A24" s="2" t="s">
        <v>56</v>
      </c>
    </row>
    <row r="25" spans="1:4" x14ac:dyDescent="0.25">
      <c r="A25" s="4" t="s">
        <v>57</v>
      </c>
      <c r="B25" s="86">
        <v>68900</v>
      </c>
    </row>
    <row r="26" spans="1:4" x14ac:dyDescent="0.25">
      <c r="A26" s="4" t="s">
        <v>58</v>
      </c>
      <c r="B26" s="87">
        <v>1.6299999999999999E-2</v>
      </c>
    </row>
    <row r="27" spans="1:4" x14ac:dyDescent="0.25">
      <c r="A27" s="4" t="s">
        <v>59</v>
      </c>
      <c r="B27" s="88">
        <v>1.4</v>
      </c>
      <c r="D27" s="7"/>
    </row>
    <row r="28" spans="1:4" x14ac:dyDescent="0.25">
      <c r="A28" s="4" t="s">
        <v>60</v>
      </c>
      <c r="B28" s="88">
        <v>1.167</v>
      </c>
      <c r="D28" s="7"/>
    </row>
    <row r="29" spans="1:4" x14ac:dyDescent="0.25">
      <c r="A29" s="4" t="s">
        <v>61</v>
      </c>
      <c r="B29" s="14">
        <f>(B25*B26)*B27</f>
        <v>1572.2979999999998</v>
      </c>
    </row>
    <row r="30" spans="1:4" x14ac:dyDescent="0.25">
      <c r="A30" s="4" t="s">
        <v>62</v>
      </c>
      <c r="B30" s="1">
        <f>(B25*B26)*B28</f>
        <v>1310.6226899999999</v>
      </c>
    </row>
    <row r="32" spans="1:4" x14ac:dyDescent="0.25">
      <c r="A32" s="2" t="s">
        <v>63</v>
      </c>
    </row>
    <row r="33" spans="1:10" x14ac:dyDescent="0.25">
      <c r="A33" s="4" t="s">
        <v>64</v>
      </c>
      <c r="B33" s="86">
        <v>121700</v>
      </c>
    </row>
    <row r="34" spans="1:10" x14ac:dyDescent="0.25">
      <c r="A34" s="4" t="s">
        <v>65</v>
      </c>
      <c r="B34" s="87">
        <v>1.9E-3</v>
      </c>
    </row>
    <row r="35" spans="1:10" x14ac:dyDescent="0.25">
      <c r="A35" s="4" t="s">
        <v>66</v>
      </c>
      <c r="B35" s="3">
        <f>B33*B34</f>
        <v>231.23</v>
      </c>
    </row>
    <row r="36" spans="1:10" x14ac:dyDescent="0.25">
      <c r="F36" s="5"/>
    </row>
    <row r="37" spans="1:10" x14ac:dyDescent="0.25">
      <c r="A37" s="2" t="s">
        <v>67</v>
      </c>
      <c r="F37" s="3"/>
    </row>
    <row r="38" spans="1:10" x14ac:dyDescent="0.25">
      <c r="A38" s="4" t="s">
        <v>58</v>
      </c>
      <c r="B38" s="87">
        <v>1.95E-2</v>
      </c>
    </row>
    <row r="40" spans="1:10" ht="15.75" x14ac:dyDescent="0.25">
      <c r="A40" s="11" t="s">
        <v>68</v>
      </c>
      <c r="B40" t="s">
        <v>69</v>
      </c>
      <c r="C40" t="s">
        <v>70</v>
      </c>
    </row>
    <row r="41" spans="1:10" x14ac:dyDescent="0.25">
      <c r="A41" s="4" t="s">
        <v>71</v>
      </c>
      <c r="B41" s="90">
        <v>318.41000000000003</v>
      </c>
      <c r="C41" s="90">
        <v>99.79</v>
      </c>
    </row>
    <row r="42" spans="1:10" x14ac:dyDescent="0.25">
      <c r="A42" s="4" t="s">
        <v>19</v>
      </c>
      <c r="B42" s="90">
        <v>197.97</v>
      </c>
      <c r="C42" s="90">
        <v>65.78</v>
      </c>
    </row>
    <row r="43" spans="1:10" x14ac:dyDescent="0.25">
      <c r="A43" s="4"/>
      <c r="B43" s="18"/>
      <c r="C43" s="18"/>
    </row>
    <row r="44" spans="1:10" x14ac:dyDescent="0.25">
      <c r="A44" s="4" t="s">
        <v>20</v>
      </c>
      <c r="B44" s="18"/>
      <c r="C44" s="18"/>
    </row>
    <row r="45" spans="1:10" x14ac:dyDescent="0.25">
      <c r="A45" s="13" t="s">
        <v>72</v>
      </c>
      <c r="B45" s="86">
        <v>213847</v>
      </c>
      <c r="C45" s="18"/>
      <c r="G45" s="83"/>
    </row>
    <row r="46" spans="1:10" x14ac:dyDescent="0.25">
      <c r="A46" s="13" t="s">
        <v>73</v>
      </c>
      <c r="B46" s="92">
        <f>1.389%*1.08</f>
        <v>1.5001200000000001E-2</v>
      </c>
      <c r="C46" s="18"/>
      <c r="E46" s="3"/>
      <c r="G46" s="83"/>
    </row>
    <row r="47" spans="1:10" x14ac:dyDescent="0.25">
      <c r="A47" s="13" t="s">
        <v>74</v>
      </c>
      <c r="B47" s="19">
        <f>(B45*B46)/12</f>
        <v>267.33013470000003</v>
      </c>
      <c r="C47" s="18"/>
    </row>
    <row r="48" spans="1:10" x14ac:dyDescent="0.25">
      <c r="A48" s="4" t="s">
        <v>75</v>
      </c>
      <c r="B48" s="18" t="s">
        <v>76</v>
      </c>
      <c r="C48" t="s">
        <v>77</v>
      </c>
      <c r="E48" t="s">
        <v>123</v>
      </c>
      <c r="F48" s="23" t="s">
        <v>124</v>
      </c>
      <c r="G48" s="121" t="s">
        <v>125</v>
      </c>
      <c r="H48" s="122"/>
      <c r="I48" s="123"/>
      <c r="J48" s="124"/>
    </row>
    <row r="49" spans="1:10" x14ac:dyDescent="0.25">
      <c r="A49" s="4" t="s">
        <v>78</v>
      </c>
      <c r="B49" s="88">
        <v>0</v>
      </c>
      <c r="C49" s="91">
        <f>0.184*1.08</f>
        <v>0.19872000000000001</v>
      </c>
      <c r="E49" s="94">
        <f>8833.1*12</f>
        <v>105997.20000000001</v>
      </c>
      <c r="F49" s="102">
        <f>(E49/1000)*B49</f>
        <v>0</v>
      </c>
      <c r="G49" s="101">
        <f>(E49/1000)*C49</f>
        <v>21.063763584000004</v>
      </c>
      <c r="H49" s="25"/>
      <c r="I49" s="25"/>
      <c r="J49" s="25"/>
    </row>
    <row r="50" spans="1:10" x14ac:dyDescent="0.25">
      <c r="A50" s="4" t="s">
        <v>79</v>
      </c>
      <c r="B50" s="89">
        <f>C49-C50</f>
        <v>6.6239999999999993E-2</v>
      </c>
      <c r="C50" s="91">
        <f>C49*2/3</f>
        <v>0.13248000000000001</v>
      </c>
      <c r="E50" s="94">
        <f t="shared" ref="E50:E51" si="0">8833.1*12</f>
        <v>105997.20000000001</v>
      </c>
      <c r="F50" s="102">
        <f t="shared" ref="F50:F51" si="1">(E50/1000)*B50</f>
        <v>7.0212545280000001</v>
      </c>
      <c r="G50" s="101">
        <f>(E50/1000)*C50</f>
        <v>14.042509056000002</v>
      </c>
      <c r="H50" s="26"/>
      <c r="I50" s="26"/>
      <c r="J50" s="26"/>
    </row>
    <row r="51" spans="1:10" x14ac:dyDescent="0.25">
      <c r="A51" s="4" t="s">
        <v>80</v>
      </c>
      <c r="B51" s="89">
        <f>C49*1/3</f>
        <v>6.6240000000000007E-2</v>
      </c>
      <c r="C51" s="91">
        <f>C49*2/3</f>
        <v>0.13248000000000001</v>
      </c>
      <c r="E51" s="94">
        <f t="shared" si="0"/>
        <v>105997.20000000001</v>
      </c>
      <c r="F51" s="103">
        <f t="shared" si="1"/>
        <v>7.0212545280000009</v>
      </c>
      <c r="G51" s="104">
        <f>(E51/1000)*C51</f>
        <v>14.042509056000002</v>
      </c>
      <c r="H51" s="26"/>
      <c r="I51" s="26"/>
      <c r="J51" s="26"/>
    </row>
    <row r="52" spans="1:10" x14ac:dyDescent="0.25">
      <c r="A52" s="4"/>
      <c r="B52" s="21"/>
      <c r="C52" s="22"/>
      <c r="F52" s="102">
        <f>SUM(F49:F51)</f>
        <v>14.042509056</v>
      </c>
      <c r="G52" s="101">
        <f>SUM(G49:G51)</f>
        <v>49.148781696000007</v>
      </c>
      <c r="H52" s="26"/>
      <c r="I52" s="26"/>
      <c r="J52" s="26"/>
    </row>
    <row r="53" spans="1:10" x14ac:dyDescent="0.25">
      <c r="A53" s="4" t="s">
        <v>81</v>
      </c>
      <c r="F53" s="20"/>
      <c r="G53" s="26"/>
      <c r="H53" s="26"/>
      <c r="I53" s="26"/>
      <c r="J53" s="26"/>
    </row>
    <row r="54" spans="1:10" x14ac:dyDescent="0.25">
      <c r="A54" s="13" t="s">
        <v>82</v>
      </c>
      <c r="B54" s="90">
        <v>1.29</v>
      </c>
      <c r="F54" s="20"/>
      <c r="G54" s="26"/>
      <c r="H54" s="26"/>
      <c r="I54" s="26"/>
      <c r="J54" s="26"/>
    </row>
    <row r="55" spans="1:10" x14ac:dyDescent="0.25">
      <c r="A55" s="13" t="s">
        <v>83</v>
      </c>
      <c r="B55" s="86">
        <v>23784</v>
      </c>
      <c r="F55" s="20"/>
      <c r="G55" s="26"/>
      <c r="H55" s="26"/>
      <c r="I55" s="26"/>
      <c r="J55" s="26"/>
    </row>
    <row r="56" spans="1:10" x14ac:dyDescent="0.25">
      <c r="A56" s="13" t="s">
        <v>84</v>
      </c>
      <c r="B56" s="2" t="s">
        <v>85</v>
      </c>
      <c r="C56" s="2" t="s">
        <v>86</v>
      </c>
      <c r="F56" s="20"/>
      <c r="G56" s="26"/>
      <c r="H56" s="26"/>
      <c r="I56" s="26"/>
      <c r="J56" s="26"/>
    </row>
    <row r="57" spans="1:10" x14ac:dyDescent="0.25">
      <c r="A57" s="90">
        <v>71300</v>
      </c>
      <c r="B57" s="90">
        <v>7.8</v>
      </c>
      <c r="C57" s="6">
        <f>B57*B54</f>
        <v>10.061999999999999</v>
      </c>
      <c r="F57" s="20"/>
      <c r="G57" s="26"/>
      <c r="H57" s="26"/>
      <c r="I57" s="26"/>
      <c r="J57" s="26"/>
    </row>
    <row r="58" spans="1:10" x14ac:dyDescent="0.25">
      <c r="A58" s="90">
        <f>A57*2</f>
        <v>142600</v>
      </c>
      <c r="B58" s="90">
        <v>11.2</v>
      </c>
      <c r="C58" s="6">
        <f>B58*B54</f>
        <v>14.447999999999999</v>
      </c>
      <c r="D58" s="5"/>
      <c r="E58" s="3"/>
      <c r="F58" s="20"/>
      <c r="G58" s="26"/>
      <c r="H58" s="26"/>
      <c r="I58" s="26"/>
      <c r="J58" s="26"/>
    </row>
    <row r="59" spans="1:10" x14ac:dyDescent="0.25">
      <c r="A59" s="90">
        <f>+A58*2</f>
        <v>285200</v>
      </c>
      <c r="B59" s="90">
        <v>11.2</v>
      </c>
      <c r="C59" s="6">
        <f>B59*B54</f>
        <v>14.447999999999999</v>
      </c>
      <c r="D59" s="5"/>
      <c r="F59" s="20"/>
      <c r="I59" s="26"/>
      <c r="J59" s="26"/>
    </row>
    <row r="60" spans="1:10" x14ac:dyDescent="0.25">
      <c r="D60" s="5"/>
      <c r="F60" s="20"/>
      <c r="G60" s="26"/>
      <c r="H60" s="26"/>
      <c r="I60" s="26"/>
      <c r="J60" s="26"/>
    </row>
    <row r="61" spans="1:10" x14ac:dyDescent="0.25">
      <c r="A61" s="15" t="s">
        <v>87</v>
      </c>
      <c r="F61" s="20"/>
      <c r="G61" s="26"/>
      <c r="H61" s="26"/>
      <c r="I61" s="26"/>
      <c r="J61" s="26"/>
    </row>
    <row r="62" spans="1:10" x14ac:dyDescent="0.25">
      <c r="A62" s="8" t="s">
        <v>70</v>
      </c>
      <c r="F62" s="20"/>
      <c r="G62" s="26"/>
      <c r="H62" s="26"/>
      <c r="I62" s="26"/>
      <c r="J62" s="26"/>
    </row>
    <row r="63" spans="1:10" x14ac:dyDescent="0.25">
      <c r="A63" s="4" t="s">
        <v>69</v>
      </c>
      <c r="F63" s="20"/>
      <c r="G63" s="26"/>
      <c r="H63" s="26"/>
      <c r="I63" s="26"/>
      <c r="J63" s="26"/>
    </row>
    <row r="64" spans="1:10" x14ac:dyDescent="0.25">
      <c r="F64" s="20"/>
      <c r="G64" s="26"/>
      <c r="H64" s="26"/>
      <c r="I64" s="26"/>
      <c r="J64" s="26"/>
    </row>
    <row r="65" spans="1:10" x14ac:dyDescent="0.25">
      <c r="A65" s="2" t="s">
        <v>88</v>
      </c>
      <c r="F65" s="20"/>
      <c r="G65" s="26"/>
      <c r="H65" s="26"/>
      <c r="I65" s="26"/>
      <c r="J65" s="26"/>
    </row>
    <row r="66" spans="1:10" x14ac:dyDescent="0.25">
      <c r="A66" s="4" t="s">
        <v>89</v>
      </c>
      <c r="F66" s="20"/>
      <c r="G66" s="26"/>
      <c r="H66" s="26"/>
      <c r="I66" s="26"/>
      <c r="J66" s="26"/>
    </row>
    <row r="67" spans="1:10" x14ac:dyDescent="0.25">
      <c r="A67" s="4" t="s">
        <v>90</v>
      </c>
      <c r="F67" s="20"/>
      <c r="I67" s="26"/>
      <c r="J67" s="26"/>
    </row>
    <row r="68" spans="1:10" x14ac:dyDescent="0.25">
      <c r="F68" s="20"/>
      <c r="I68" s="26"/>
      <c r="J68" s="26"/>
    </row>
    <row r="69" spans="1:10" x14ac:dyDescent="0.25">
      <c r="A69" s="16" t="s">
        <v>91</v>
      </c>
      <c r="F69" s="20"/>
      <c r="I69" s="26"/>
      <c r="J69" s="26"/>
    </row>
    <row r="70" spans="1:10" x14ac:dyDescent="0.25">
      <c r="A70" s="12">
        <v>1</v>
      </c>
      <c r="F70" s="20"/>
      <c r="I70" s="26"/>
      <c r="J70" s="26"/>
    </row>
    <row r="71" spans="1:10" x14ac:dyDescent="0.25">
      <c r="A71" s="12">
        <v>2</v>
      </c>
      <c r="F71" s="20"/>
      <c r="I71" s="26"/>
      <c r="J71" s="26"/>
    </row>
    <row r="72" spans="1:10" x14ac:dyDescent="0.25">
      <c r="A72" s="12">
        <v>3</v>
      </c>
      <c r="F72" s="20"/>
      <c r="G72" s="26"/>
      <c r="H72" s="26"/>
      <c r="I72" s="26"/>
      <c r="J72" s="26"/>
    </row>
    <row r="73" spans="1:10" x14ac:dyDescent="0.25">
      <c r="A73" s="12">
        <v>4</v>
      </c>
      <c r="F73" s="20"/>
      <c r="G73" s="26"/>
      <c r="H73" s="26"/>
      <c r="I73" s="26"/>
      <c r="J73" s="26"/>
    </row>
    <row r="74" spans="1:10" x14ac:dyDescent="0.25">
      <c r="A74" s="12">
        <v>5</v>
      </c>
      <c r="F74" s="20"/>
      <c r="G74" s="26"/>
      <c r="H74" s="26"/>
      <c r="I74" s="26"/>
      <c r="J74" s="26"/>
    </row>
    <row r="75" spans="1:10" x14ac:dyDescent="0.25">
      <c r="A75" s="12">
        <v>6</v>
      </c>
      <c r="F75" s="20"/>
      <c r="G75" s="26"/>
      <c r="H75" s="26"/>
      <c r="I75" s="26"/>
      <c r="J75" s="26"/>
    </row>
    <row r="76" spans="1:10" x14ac:dyDescent="0.25">
      <c r="A76" s="12">
        <v>7</v>
      </c>
      <c r="F76" s="20"/>
      <c r="G76" s="26"/>
      <c r="H76" s="26"/>
      <c r="I76" s="26"/>
      <c r="J76" s="26"/>
    </row>
    <row r="77" spans="1:10" x14ac:dyDescent="0.25">
      <c r="A77" s="12">
        <v>8</v>
      </c>
    </row>
    <row r="78" spans="1:10" x14ac:dyDescent="0.25">
      <c r="A78" s="12">
        <v>9</v>
      </c>
    </row>
    <row r="79" spans="1:10" x14ac:dyDescent="0.25">
      <c r="A79" s="12">
        <v>10</v>
      </c>
    </row>
    <row r="80" spans="1:10" x14ac:dyDescent="0.25">
      <c r="A80" s="12">
        <v>11</v>
      </c>
    </row>
    <row r="81" spans="1:1" x14ac:dyDescent="0.25">
      <c r="A81" s="12">
        <v>12</v>
      </c>
    </row>
    <row r="83" spans="1:1" x14ac:dyDescent="0.25">
      <c r="A83" t="s">
        <v>92</v>
      </c>
    </row>
    <row r="84" spans="1:1" x14ac:dyDescent="0.25">
      <c r="A84" s="12">
        <v>1</v>
      </c>
    </row>
    <row r="85" spans="1:1" x14ac:dyDescent="0.25">
      <c r="A85" s="12">
        <v>2</v>
      </c>
    </row>
    <row r="86" spans="1:1" x14ac:dyDescent="0.25">
      <c r="A86" s="12">
        <v>3</v>
      </c>
    </row>
    <row r="87" spans="1:1" x14ac:dyDescent="0.25">
      <c r="A87" s="12">
        <v>4</v>
      </c>
    </row>
    <row r="88" spans="1:1" x14ac:dyDescent="0.25">
      <c r="A88" s="12">
        <v>5</v>
      </c>
    </row>
    <row r="89" spans="1:1" x14ac:dyDescent="0.25">
      <c r="A89" s="12">
        <v>6</v>
      </c>
    </row>
    <row r="91" spans="1:1" x14ac:dyDescent="0.25">
      <c r="A91" t="s">
        <v>93</v>
      </c>
    </row>
    <row r="92" spans="1:1" x14ac:dyDescent="0.25">
      <c r="A92" t="s">
        <v>94</v>
      </c>
    </row>
    <row r="93" spans="1:1" x14ac:dyDescent="0.25">
      <c r="A93" t="s">
        <v>95</v>
      </c>
    </row>
  </sheetData>
  <mergeCells count="2">
    <mergeCell ref="G48:H48"/>
    <mergeCell ref="I48:J4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92"/>
  <sheetViews>
    <sheetView topLeftCell="A11" workbookViewId="0">
      <selection activeCell="D13" sqref="D13"/>
    </sheetView>
  </sheetViews>
  <sheetFormatPr defaultColWidth="9.140625" defaultRowHeight="15" x14ac:dyDescent="0.25"/>
  <cols>
    <col min="1" max="1" width="24" customWidth="1"/>
    <col min="2" max="2" width="9.85546875" customWidth="1"/>
    <col min="3" max="3" width="14.85546875" style="20" customWidth="1"/>
    <col min="4" max="4" width="10.7109375" style="26" customWidth="1"/>
    <col min="5" max="5" width="11.85546875" style="26" customWidth="1"/>
    <col min="6" max="6" width="10.7109375" style="26" customWidth="1"/>
    <col min="7" max="7" width="9.140625" style="26"/>
    <col min="9" max="9" width="14.5703125" customWidth="1"/>
    <col min="10" max="10" width="15.140625" customWidth="1"/>
    <col min="11" max="11" width="15.42578125" customWidth="1"/>
    <col min="12" max="12" width="17.28515625" style="26" customWidth="1"/>
  </cols>
  <sheetData>
    <row r="1" spans="1:12" ht="18.75" x14ac:dyDescent="0.3">
      <c r="A1" s="9" t="s">
        <v>42</v>
      </c>
      <c r="C1"/>
      <c r="D1"/>
    </row>
    <row r="2" spans="1:12" s="12" customFormat="1" x14ac:dyDescent="0.25">
      <c r="A2"/>
      <c r="B2"/>
      <c r="C2"/>
      <c r="D2"/>
      <c r="E2" s="24"/>
      <c r="F2" s="24"/>
      <c r="G2" s="24"/>
      <c r="L2" s="24"/>
    </row>
    <row r="3" spans="1:12" ht="30" x14ac:dyDescent="0.25">
      <c r="A3" s="40" t="s">
        <v>43</v>
      </c>
      <c r="B3" s="17">
        <v>43952</v>
      </c>
      <c r="C3"/>
      <c r="D3"/>
    </row>
    <row r="4" spans="1:12" x14ac:dyDescent="0.25">
      <c r="C4"/>
      <c r="D4"/>
    </row>
    <row r="5" spans="1:12" ht="13.5" customHeight="1" x14ac:dyDescent="0.25">
      <c r="A5" t="s">
        <v>44</v>
      </c>
      <c r="C5"/>
      <c r="D5"/>
    </row>
    <row r="6" spans="1:12" x14ac:dyDescent="0.25">
      <c r="A6" t="s">
        <v>45</v>
      </c>
      <c r="C6"/>
      <c r="D6"/>
    </row>
    <row r="7" spans="1:12" ht="16.5" customHeight="1" x14ac:dyDescent="0.25">
      <c r="A7" t="s">
        <v>46</v>
      </c>
      <c r="C7"/>
      <c r="D7"/>
    </row>
    <row r="9" spans="1:12" x14ac:dyDescent="0.25">
      <c r="C9" s="27" t="s">
        <v>96</v>
      </c>
      <c r="H9" s="33" t="s">
        <v>97</v>
      </c>
      <c r="I9" s="10"/>
      <c r="J9" s="10"/>
    </row>
    <row r="11" spans="1:12" x14ac:dyDescent="0.25">
      <c r="C11" s="23" t="s">
        <v>98</v>
      </c>
      <c r="D11" s="25" t="s">
        <v>99</v>
      </c>
      <c r="E11" s="28" t="s">
        <v>100</v>
      </c>
      <c r="F11" s="26" t="s">
        <v>101</v>
      </c>
    </row>
    <row r="12" spans="1:12" x14ac:dyDescent="0.25">
      <c r="C12" s="29" t="s">
        <v>102</v>
      </c>
      <c r="D12" s="38">
        <v>0.184</v>
      </c>
      <c r="E12" s="38">
        <v>0</v>
      </c>
      <c r="F12" s="39">
        <f>D12</f>
        <v>0.184</v>
      </c>
    </row>
    <row r="13" spans="1:12" x14ac:dyDescent="0.25">
      <c r="C13" s="29" t="s">
        <v>103</v>
      </c>
      <c r="D13" s="38">
        <f>+'Rates Sheet'!C50</f>
        <v>0.13248000000000001</v>
      </c>
      <c r="E13" s="38">
        <f>+'Rates Sheet'!B50</f>
        <v>6.6239999999999993E-2</v>
      </c>
      <c r="F13" s="39">
        <f>D13+E13</f>
        <v>0.19872000000000001</v>
      </c>
    </row>
    <row r="14" spans="1:12" x14ac:dyDescent="0.25">
      <c r="C14" s="29" t="s">
        <v>104</v>
      </c>
      <c r="D14" s="38">
        <f>+'Rates Sheet'!C51</f>
        <v>0.13248000000000001</v>
      </c>
      <c r="E14" s="38">
        <f>+'Rates Sheet'!B51</f>
        <v>6.6240000000000007E-2</v>
      </c>
      <c r="F14" s="39">
        <f>D14+E14</f>
        <v>0.19872000000000001</v>
      </c>
    </row>
    <row r="16" spans="1:12" ht="30" x14ac:dyDescent="0.25">
      <c r="A16" s="82" t="s">
        <v>105</v>
      </c>
      <c r="B16" s="26">
        <f>IF(AND(Calculator!D34="M",Calculator!E34="No"),(((Calculator!I22*12)/1000)*I20),IF(AND(Calculator!D34="M",Calculator!E34="Yes"),(((Calculator!I22*12)/1000)*J20),IF(AND(Calculator!D34="F",Calculator!E34="No"),(((Calculator!I22*12)/1000)*K20),IF(AND(Calculator!D34="F",Calculator!E34="Yes"),(((Calculator!I22*12)/1000))*L20,0))))</f>
        <v>0</v>
      </c>
      <c r="C16" s="121" t="s">
        <v>106</v>
      </c>
      <c r="D16" s="129"/>
      <c r="E16" s="129"/>
      <c r="F16" s="129"/>
      <c r="G16" s="129"/>
    </row>
    <row r="17" spans="1:12" x14ac:dyDescent="0.25">
      <c r="B17" s="35"/>
    </row>
    <row r="18" spans="1:12" ht="30" x14ac:dyDescent="0.25">
      <c r="B18" s="35"/>
      <c r="C18" s="81" t="s">
        <v>107</v>
      </c>
      <c r="D18" s="125" t="s">
        <v>108</v>
      </c>
      <c r="E18" s="126"/>
      <c r="F18" s="127" t="s">
        <v>109</v>
      </c>
      <c r="G18" s="128"/>
      <c r="I18" s="30" t="s">
        <v>110</v>
      </c>
      <c r="J18" s="30" t="s">
        <v>111</v>
      </c>
      <c r="K18" s="30" t="s">
        <v>112</v>
      </c>
      <c r="L18" s="31" t="s">
        <v>113</v>
      </c>
    </row>
    <row r="19" spans="1:12" x14ac:dyDescent="0.25">
      <c r="B19" s="26"/>
      <c r="D19" s="25" t="s">
        <v>114</v>
      </c>
      <c r="E19" s="25" t="s">
        <v>115</v>
      </c>
      <c r="F19" s="25" t="s">
        <v>116</v>
      </c>
      <c r="G19" s="25" t="s">
        <v>115</v>
      </c>
    </row>
    <row r="20" spans="1:12" x14ac:dyDescent="0.25">
      <c r="B20" s="26"/>
      <c r="C20" s="20" t="s">
        <v>117</v>
      </c>
      <c r="D20" s="55">
        <f>0.0175*1.08</f>
        <v>1.8900000000000004E-2</v>
      </c>
      <c r="E20" s="55">
        <f>0.012*1.08</f>
        <v>1.2960000000000001E-2</v>
      </c>
      <c r="F20" s="55">
        <f>0.0425*1.08</f>
        <v>4.5900000000000003E-2</v>
      </c>
      <c r="G20" s="55">
        <f>0.0175*1.08</f>
        <v>1.8900000000000004E-2</v>
      </c>
      <c r="I20" s="34">
        <f>IF(Calculator!C34&lt;24,D20,VLOOKUP(Calculator!C34,C20:G66,2))</f>
        <v>1.8900000000000004E-2</v>
      </c>
      <c r="J20" s="34">
        <f>IF(Calculator!C34&lt;24,F20,VLOOKUP(Calculator!C34,C20:G66,4))</f>
        <v>4.5900000000000003E-2</v>
      </c>
      <c r="K20" s="34">
        <f>IF(Calculator!C34&lt;24,E20,VLOOKUP(Calculator!C34,$C$20:$G$66,3))</f>
        <v>1.2960000000000001E-2</v>
      </c>
      <c r="L20" s="34">
        <f>IF(Calculator!C34&lt;24,G20,VLOOKUP(Calculator!C34,$C$20:$G$66,5))</f>
        <v>1.8900000000000004E-2</v>
      </c>
    </row>
    <row r="21" spans="1:12" x14ac:dyDescent="0.25">
      <c r="B21" s="26"/>
      <c r="C21" s="20">
        <v>24</v>
      </c>
      <c r="D21" s="56">
        <f>0.024*1.08</f>
        <v>2.5920000000000002E-2</v>
      </c>
      <c r="E21" s="55">
        <f>0.0175*1.08</f>
        <v>1.8900000000000004E-2</v>
      </c>
      <c r="F21" s="55">
        <f>0.05*1.08</f>
        <v>5.4000000000000006E-2</v>
      </c>
      <c r="G21" s="55">
        <f>0.0277*1.08</f>
        <v>2.9916000000000002E-2</v>
      </c>
    </row>
    <row r="22" spans="1:12" x14ac:dyDescent="0.25">
      <c r="C22" s="20">
        <v>25</v>
      </c>
      <c r="D22" s="56">
        <f t="shared" ref="D22:D31" si="0">0.024*1.08</f>
        <v>2.5920000000000002E-2</v>
      </c>
      <c r="E22" s="55">
        <f t="shared" ref="E22:E31" si="1">0.0175*1.08</f>
        <v>1.8900000000000004E-2</v>
      </c>
      <c r="F22" s="55">
        <f t="shared" ref="F22:F31" si="2">0.05*1.08</f>
        <v>5.4000000000000006E-2</v>
      </c>
      <c r="G22" s="55">
        <f t="shared" ref="G22:G31" si="3">0.0277*1.08</f>
        <v>2.9916000000000002E-2</v>
      </c>
    </row>
    <row r="23" spans="1:12" x14ac:dyDescent="0.25">
      <c r="C23" s="20">
        <v>26</v>
      </c>
      <c r="D23" s="56">
        <f t="shared" si="0"/>
        <v>2.5920000000000002E-2</v>
      </c>
      <c r="E23" s="55">
        <f t="shared" si="1"/>
        <v>1.8900000000000004E-2</v>
      </c>
      <c r="F23" s="55">
        <f t="shared" si="2"/>
        <v>5.4000000000000006E-2</v>
      </c>
      <c r="G23" s="55">
        <f t="shared" si="3"/>
        <v>2.9916000000000002E-2</v>
      </c>
      <c r="I23" s="32" t="s">
        <v>118</v>
      </c>
    </row>
    <row r="24" spans="1:12" x14ac:dyDescent="0.25">
      <c r="C24" s="20">
        <v>27</v>
      </c>
      <c r="D24" s="56">
        <f t="shared" si="0"/>
        <v>2.5920000000000002E-2</v>
      </c>
      <c r="E24" s="55">
        <f t="shared" si="1"/>
        <v>1.8900000000000004E-2</v>
      </c>
      <c r="F24" s="55">
        <f t="shared" si="2"/>
        <v>5.4000000000000006E-2</v>
      </c>
      <c r="G24" s="55">
        <f t="shared" si="3"/>
        <v>2.9916000000000002E-2</v>
      </c>
    </row>
    <row r="25" spans="1:12" ht="33" customHeight="1" x14ac:dyDescent="0.25">
      <c r="C25" s="20">
        <v>28</v>
      </c>
      <c r="D25" s="56">
        <f t="shared" si="0"/>
        <v>2.5920000000000002E-2</v>
      </c>
      <c r="E25" s="55">
        <f t="shared" si="1"/>
        <v>1.8900000000000004E-2</v>
      </c>
      <c r="F25" s="55">
        <f t="shared" si="2"/>
        <v>5.4000000000000006E-2</v>
      </c>
      <c r="G25" s="55">
        <f t="shared" si="3"/>
        <v>2.9916000000000002E-2</v>
      </c>
      <c r="I25" s="30" t="s">
        <v>110</v>
      </c>
      <c r="J25" s="30" t="s">
        <v>111</v>
      </c>
      <c r="K25" s="30" t="s">
        <v>112</v>
      </c>
      <c r="L25" s="31" t="s">
        <v>113</v>
      </c>
    </row>
    <row r="26" spans="1:12" x14ac:dyDescent="0.25">
      <c r="C26" s="20">
        <v>29</v>
      </c>
      <c r="D26" s="56">
        <f t="shared" si="0"/>
        <v>2.5920000000000002E-2</v>
      </c>
      <c r="E26" s="55">
        <f t="shared" si="1"/>
        <v>1.8900000000000004E-2</v>
      </c>
      <c r="F26" s="55">
        <f t="shared" si="2"/>
        <v>5.4000000000000006E-2</v>
      </c>
      <c r="G26" s="55">
        <f t="shared" si="3"/>
        <v>2.9916000000000002E-2</v>
      </c>
      <c r="I26" s="34">
        <f>IF(Calculator!C35&lt;24,D20,VLOOKUP(Calculator!C35,C21:G66,2))</f>
        <v>1.8900000000000004E-2</v>
      </c>
      <c r="J26" s="34">
        <f>IF(Calculator!C35&lt;24,F20,VLOOKUP(Calculator!C35,C21:G66,4))</f>
        <v>4.5900000000000003E-2</v>
      </c>
      <c r="K26" s="34">
        <f>IF(Calculator!C35&lt;24,E20,VLOOKUP(Calculator!C35,C21:G66,3))</f>
        <v>1.2960000000000001E-2</v>
      </c>
      <c r="L26" s="34">
        <f>IF(Calculator!C35&lt;24,G20,VLOOKUP(Calculator!C35,C21:G66,5))</f>
        <v>1.8900000000000004E-2</v>
      </c>
    </row>
    <row r="27" spans="1:12" x14ac:dyDescent="0.25">
      <c r="C27" s="20">
        <v>30</v>
      </c>
      <c r="D27" s="56">
        <f t="shared" si="0"/>
        <v>2.5920000000000002E-2</v>
      </c>
      <c r="E27" s="55">
        <f t="shared" si="1"/>
        <v>1.8900000000000004E-2</v>
      </c>
      <c r="F27" s="55">
        <f t="shared" si="2"/>
        <v>5.4000000000000006E-2</v>
      </c>
      <c r="G27" s="55">
        <f t="shared" si="3"/>
        <v>2.9916000000000002E-2</v>
      </c>
    </row>
    <row r="28" spans="1:12" x14ac:dyDescent="0.25">
      <c r="C28" s="20">
        <v>31</v>
      </c>
      <c r="D28" s="56">
        <f t="shared" si="0"/>
        <v>2.5920000000000002E-2</v>
      </c>
      <c r="E28" s="55">
        <f t="shared" si="1"/>
        <v>1.8900000000000004E-2</v>
      </c>
      <c r="F28" s="55">
        <f t="shared" si="2"/>
        <v>5.4000000000000006E-2</v>
      </c>
      <c r="G28" s="55">
        <f t="shared" si="3"/>
        <v>2.9916000000000002E-2</v>
      </c>
      <c r="I28" s="20" t="s">
        <v>119</v>
      </c>
    </row>
    <row r="29" spans="1:12" ht="30" x14ac:dyDescent="0.25">
      <c r="A29" s="82" t="s">
        <v>120</v>
      </c>
      <c r="B29" s="26">
        <f>IF(AND(Calculator!D35="M",Calculator!E35="No"),(((Calculator!I22*12)/1000)*I26),IF(AND(Calculator!D35="M",Calculator!E35="Yes"),(((Calculator!I22*12)/1000)*J26),IF(AND(Calculator!D35="F",Calculator!E35="No"),(((Calculator!I22*12)/1000)*K26),IF(AND(Calculator!D35="F",Calculator!E35="Yes"),(((Calculator!I22*12)/1000))*L26,0))))</f>
        <v>0</v>
      </c>
      <c r="C29" s="20">
        <v>32</v>
      </c>
      <c r="D29" s="56">
        <f t="shared" si="0"/>
        <v>2.5920000000000002E-2</v>
      </c>
      <c r="E29" s="55">
        <f t="shared" si="1"/>
        <v>1.8900000000000004E-2</v>
      </c>
      <c r="F29" s="55">
        <f t="shared" si="2"/>
        <v>5.4000000000000006E-2</v>
      </c>
      <c r="G29" s="55">
        <f t="shared" si="3"/>
        <v>2.9916000000000002E-2</v>
      </c>
    </row>
    <row r="30" spans="1:12" x14ac:dyDescent="0.25">
      <c r="C30" s="20">
        <v>33</v>
      </c>
      <c r="D30" s="56">
        <f t="shared" si="0"/>
        <v>2.5920000000000002E-2</v>
      </c>
      <c r="E30" s="55">
        <f t="shared" si="1"/>
        <v>1.8900000000000004E-2</v>
      </c>
      <c r="F30" s="55">
        <f t="shared" si="2"/>
        <v>5.4000000000000006E-2</v>
      </c>
      <c r="G30" s="55">
        <f t="shared" si="3"/>
        <v>2.9916000000000002E-2</v>
      </c>
    </row>
    <row r="31" spans="1:12" x14ac:dyDescent="0.25">
      <c r="C31" s="20">
        <v>34</v>
      </c>
      <c r="D31" s="56">
        <f t="shared" si="0"/>
        <v>2.5920000000000002E-2</v>
      </c>
      <c r="E31" s="55">
        <f t="shared" si="1"/>
        <v>1.8900000000000004E-2</v>
      </c>
      <c r="F31" s="55">
        <f t="shared" si="2"/>
        <v>5.4000000000000006E-2</v>
      </c>
      <c r="G31" s="55">
        <f t="shared" si="3"/>
        <v>2.9916000000000002E-2</v>
      </c>
    </row>
    <row r="32" spans="1:12" x14ac:dyDescent="0.25">
      <c r="C32" s="20">
        <v>35</v>
      </c>
      <c r="D32" s="55">
        <f>0.0277*1.08</f>
        <v>2.9916000000000002E-2</v>
      </c>
      <c r="E32" s="55">
        <f>0.024*1.08</f>
        <v>2.5920000000000002E-2</v>
      </c>
      <c r="F32" s="55">
        <f>0.0574*1.08</f>
        <v>6.1992000000000005E-2</v>
      </c>
      <c r="G32" s="55">
        <f>0.0351*1.08</f>
        <v>3.7908000000000004E-2</v>
      </c>
    </row>
    <row r="33" spans="3:12" x14ac:dyDescent="0.25">
      <c r="C33" s="20">
        <v>36</v>
      </c>
      <c r="D33" s="55">
        <f t="shared" ref="D33:D36" si="4">0.0277*1.08</f>
        <v>2.9916000000000002E-2</v>
      </c>
      <c r="E33" s="55">
        <f t="shared" ref="E33:E36" si="5">0.024*1.08</f>
        <v>2.5920000000000002E-2</v>
      </c>
      <c r="F33" s="55">
        <f t="shared" ref="F33:F36" si="6">0.0574*1.08</f>
        <v>6.1992000000000005E-2</v>
      </c>
      <c r="G33" s="55">
        <f t="shared" ref="G33:G36" si="7">0.0351*1.08</f>
        <v>3.7908000000000004E-2</v>
      </c>
    </row>
    <row r="34" spans="3:12" x14ac:dyDescent="0.25">
      <c r="C34" s="20">
        <v>37</v>
      </c>
      <c r="D34" s="55">
        <f t="shared" si="4"/>
        <v>2.9916000000000002E-2</v>
      </c>
      <c r="E34" s="55">
        <f t="shared" si="5"/>
        <v>2.5920000000000002E-2</v>
      </c>
      <c r="F34" s="55">
        <f t="shared" si="6"/>
        <v>6.1992000000000005E-2</v>
      </c>
      <c r="G34" s="55">
        <f t="shared" si="7"/>
        <v>3.7908000000000004E-2</v>
      </c>
    </row>
    <row r="35" spans="3:12" x14ac:dyDescent="0.25">
      <c r="C35" s="20">
        <v>38</v>
      </c>
      <c r="D35" s="55">
        <f t="shared" si="4"/>
        <v>2.9916000000000002E-2</v>
      </c>
      <c r="E35" s="55">
        <f t="shared" si="5"/>
        <v>2.5920000000000002E-2</v>
      </c>
      <c r="F35" s="55">
        <f t="shared" si="6"/>
        <v>6.1992000000000005E-2</v>
      </c>
      <c r="G35" s="55">
        <f t="shared" si="7"/>
        <v>3.7908000000000004E-2</v>
      </c>
    </row>
    <row r="36" spans="3:12" x14ac:dyDescent="0.25">
      <c r="C36" s="20">
        <v>39</v>
      </c>
      <c r="D36" s="55">
        <f t="shared" si="4"/>
        <v>2.9916000000000002E-2</v>
      </c>
      <c r="E36" s="55">
        <f t="shared" si="5"/>
        <v>2.5920000000000002E-2</v>
      </c>
      <c r="F36" s="55">
        <f t="shared" si="6"/>
        <v>6.1992000000000005E-2</v>
      </c>
      <c r="G36" s="55">
        <f t="shared" si="7"/>
        <v>3.7908000000000004E-2</v>
      </c>
    </row>
    <row r="37" spans="3:12" x14ac:dyDescent="0.25">
      <c r="C37" s="20">
        <v>40</v>
      </c>
      <c r="D37" s="55">
        <f>0.0425*1.08</f>
        <v>4.5900000000000003E-2</v>
      </c>
      <c r="E37" s="55">
        <f>0.0277*1.08</f>
        <v>2.9916000000000002E-2</v>
      </c>
      <c r="F37" s="55">
        <f>0.0777*1.08</f>
        <v>8.3916000000000004E-2</v>
      </c>
      <c r="G37" s="55">
        <f>0.05*1.08</f>
        <v>5.4000000000000006E-2</v>
      </c>
      <c r="L37"/>
    </row>
    <row r="38" spans="3:12" x14ac:dyDescent="0.25">
      <c r="C38" s="20">
        <v>41</v>
      </c>
      <c r="D38" s="55">
        <f t="shared" ref="D38:D41" si="8">0.0425*1.08</f>
        <v>4.5900000000000003E-2</v>
      </c>
      <c r="E38" s="55">
        <f t="shared" ref="E38:E41" si="9">0.0277*1.08</f>
        <v>2.9916000000000002E-2</v>
      </c>
      <c r="F38" s="55">
        <f t="shared" ref="F38:F41" si="10">0.0777*1.08</f>
        <v>8.3916000000000004E-2</v>
      </c>
      <c r="G38" s="55">
        <f t="shared" ref="G38:G41" si="11">0.05*1.08</f>
        <v>5.4000000000000006E-2</v>
      </c>
      <c r="L38"/>
    </row>
    <row r="39" spans="3:12" x14ac:dyDescent="0.25">
      <c r="C39" s="20">
        <v>42</v>
      </c>
      <c r="D39" s="55">
        <f t="shared" si="8"/>
        <v>4.5900000000000003E-2</v>
      </c>
      <c r="E39" s="55">
        <f t="shared" si="9"/>
        <v>2.9916000000000002E-2</v>
      </c>
      <c r="F39" s="55">
        <f t="shared" si="10"/>
        <v>8.3916000000000004E-2</v>
      </c>
      <c r="G39" s="55">
        <f t="shared" si="11"/>
        <v>5.4000000000000006E-2</v>
      </c>
      <c r="L39"/>
    </row>
    <row r="40" spans="3:12" x14ac:dyDescent="0.25">
      <c r="C40" s="20">
        <v>43</v>
      </c>
      <c r="D40" s="55">
        <f t="shared" si="8"/>
        <v>4.5900000000000003E-2</v>
      </c>
      <c r="E40" s="55">
        <f t="shared" si="9"/>
        <v>2.9916000000000002E-2</v>
      </c>
      <c r="F40" s="55">
        <f t="shared" si="10"/>
        <v>8.3916000000000004E-2</v>
      </c>
      <c r="G40" s="55">
        <f t="shared" si="11"/>
        <v>5.4000000000000006E-2</v>
      </c>
      <c r="L40"/>
    </row>
    <row r="41" spans="3:12" x14ac:dyDescent="0.25">
      <c r="C41" s="20">
        <v>44</v>
      </c>
      <c r="D41" s="55">
        <f t="shared" si="8"/>
        <v>4.5900000000000003E-2</v>
      </c>
      <c r="E41" s="55">
        <f t="shared" si="9"/>
        <v>2.9916000000000002E-2</v>
      </c>
      <c r="F41" s="55">
        <f t="shared" si="10"/>
        <v>8.3916000000000004E-2</v>
      </c>
      <c r="G41" s="55">
        <f t="shared" si="11"/>
        <v>5.4000000000000006E-2</v>
      </c>
      <c r="L41"/>
    </row>
    <row r="42" spans="3:12" x14ac:dyDescent="0.25">
      <c r="C42" s="20">
        <v>45</v>
      </c>
      <c r="D42" s="55">
        <f>0.0638*1.08</f>
        <v>6.8903999999999993E-2</v>
      </c>
      <c r="E42" s="55">
        <f>0.0453*1.08</f>
        <v>4.8924000000000002E-2</v>
      </c>
      <c r="F42" s="55">
        <f>0.1398*1.08</f>
        <v>0.15098400000000001</v>
      </c>
      <c r="G42" s="55">
        <f>0.0768*1.08</f>
        <v>8.2944000000000004E-2</v>
      </c>
      <c r="L42"/>
    </row>
    <row r="43" spans="3:12" x14ac:dyDescent="0.25">
      <c r="C43" s="20">
        <v>46</v>
      </c>
      <c r="D43" s="55">
        <f t="shared" ref="D43:D46" si="12">0.0638*1.08</f>
        <v>6.8903999999999993E-2</v>
      </c>
      <c r="E43" s="55">
        <f t="shared" ref="E43:E46" si="13">0.0453*1.08</f>
        <v>4.8924000000000002E-2</v>
      </c>
      <c r="F43" s="55">
        <f t="shared" ref="F43:F46" si="14">0.1398*1.08</f>
        <v>0.15098400000000001</v>
      </c>
      <c r="G43" s="55">
        <f t="shared" ref="G43:G46" si="15">0.0768*1.08</f>
        <v>8.2944000000000004E-2</v>
      </c>
      <c r="L43"/>
    </row>
    <row r="44" spans="3:12" x14ac:dyDescent="0.25">
      <c r="C44" s="20">
        <v>47</v>
      </c>
      <c r="D44" s="55">
        <f t="shared" si="12"/>
        <v>6.8903999999999993E-2</v>
      </c>
      <c r="E44" s="55">
        <f t="shared" si="13"/>
        <v>4.8924000000000002E-2</v>
      </c>
      <c r="F44" s="55">
        <f t="shared" si="14"/>
        <v>0.15098400000000001</v>
      </c>
      <c r="G44" s="55">
        <f t="shared" si="15"/>
        <v>8.2944000000000004E-2</v>
      </c>
      <c r="L44"/>
    </row>
    <row r="45" spans="3:12" x14ac:dyDescent="0.25">
      <c r="C45" s="20">
        <v>48</v>
      </c>
      <c r="D45" s="55">
        <f t="shared" si="12"/>
        <v>6.8903999999999993E-2</v>
      </c>
      <c r="E45" s="55">
        <f t="shared" si="13"/>
        <v>4.8924000000000002E-2</v>
      </c>
      <c r="F45" s="55">
        <f t="shared" si="14"/>
        <v>0.15098400000000001</v>
      </c>
      <c r="G45" s="55">
        <f t="shared" si="15"/>
        <v>8.2944000000000004E-2</v>
      </c>
      <c r="L45"/>
    </row>
    <row r="46" spans="3:12" x14ac:dyDescent="0.25">
      <c r="C46" s="20">
        <v>49</v>
      </c>
      <c r="D46" s="55">
        <f t="shared" si="12"/>
        <v>6.8903999999999993E-2</v>
      </c>
      <c r="E46" s="55">
        <f t="shared" si="13"/>
        <v>4.8924000000000002E-2</v>
      </c>
      <c r="F46" s="55">
        <f t="shared" si="14"/>
        <v>0.15098400000000001</v>
      </c>
      <c r="G46" s="55">
        <f t="shared" si="15"/>
        <v>8.2944000000000004E-2</v>
      </c>
      <c r="L46"/>
    </row>
    <row r="47" spans="3:12" x14ac:dyDescent="0.25">
      <c r="C47" s="20">
        <v>50</v>
      </c>
      <c r="D47" s="55">
        <f t="shared" ref="D47:D50" si="16">0.1213*1.08</f>
        <v>0.13100400000000001</v>
      </c>
      <c r="E47" s="55">
        <f>0.0768*1.08</f>
        <v>8.2944000000000004E-2</v>
      </c>
      <c r="F47" s="55">
        <f>0.249*1.08</f>
        <v>0.26891999999999999</v>
      </c>
      <c r="G47" s="55">
        <f>0.1277*1.08</f>
        <v>0.13791600000000001</v>
      </c>
      <c r="L47"/>
    </row>
    <row r="48" spans="3:12" x14ac:dyDescent="0.25">
      <c r="C48" s="20">
        <v>51</v>
      </c>
      <c r="D48" s="55">
        <f t="shared" si="16"/>
        <v>0.13100400000000001</v>
      </c>
      <c r="E48" s="55">
        <f t="shared" ref="E48:E51" si="17">0.0768*1.08</f>
        <v>8.2944000000000004E-2</v>
      </c>
      <c r="F48" s="55">
        <f t="shared" ref="F48:F51" si="18">0.249*1.08</f>
        <v>0.26891999999999999</v>
      </c>
      <c r="G48" s="55">
        <f t="shared" ref="G48:G51" si="19">0.1277*1.08</f>
        <v>0.13791600000000001</v>
      </c>
      <c r="L48"/>
    </row>
    <row r="49" spans="3:12" x14ac:dyDescent="0.25">
      <c r="C49" s="20">
        <v>52</v>
      </c>
      <c r="D49" s="55">
        <f t="shared" si="16"/>
        <v>0.13100400000000001</v>
      </c>
      <c r="E49" s="55">
        <f t="shared" si="17"/>
        <v>8.2944000000000004E-2</v>
      </c>
      <c r="F49" s="55">
        <f t="shared" si="18"/>
        <v>0.26891999999999999</v>
      </c>
      <c r="G49" s="55">
        <f t="shared" si="19"/>
        <v>0.13791600000000001</v>
      </c>
      <c r="L49"/>
    </row>
    <row r="50" spans="3:12" x14ac:dyDescent="0.25">
      <c r="C50" s="20">
        <v>53</v>
      </c>
      <c r="D50" s="55">
        <f t="shared" si="16"/>
        <v>0.13100400000000001</v>
      </c>
      <c r="E50" s="55">
        <f t="shared" si="17"/>
        <v>8.2944000000000004E-2</v>
      </c>
      <c r="F50" s="55">
        <f t="shared" si="18"/>
        <v>0.26891999999999999</v>
      </c>
      <c r="G50" s="55">
        <f t="shared" si="19"/>
        <v>0.13791600000000001</v>
      </c>
      <c r="L50"/>
    </row>
    <row r="51" spans="3:12" x14ac:dyDescent="0.25">
      <c r="C51" s="20">
        <v>54</v>
      </c>
      <c r="D51" s="55">
        <f>0.1213*1.08</f>
        <v>0.13100400000000001</v>
      </c>
      <c r="E51" s="55">
        <f t="shared" si="17"/>
        <v>8.2944000000000004E-2</v>
      </c>
      <c r="F51" s="55">
        <f t="shared" si="18"/>
        <v>0.26891999999999999</v>
      </c>
      <c r="G51" s="55">
        <f t="shared" si="19"/>
        <v>0.13791600000000001</v>
      </c>
      <c r="I51" s="93"/>
      <c r="L51"/>
    </row>
    <row r="52" spans="3:12" x14ac:dyDescent="0.25">
      <c r="C52" s="20">
        <v>55</v>
      </c>
      <c r="D52" s="55">
        <f>0.2037*1.08</f>
        <v>0.219996</v>
      </c>
      <c r="E52" s="55">
        <f>0.1213*1.08</f>
        <v>0.13100400000000001</v>
      </c>
      <c r="F52" s="55">
        <f>0.4148*1.08</f>
        <v>0.44798400000000005</v>
      </c>
      <c r="G52" s="55">
        <f>0.2037*1.08</f>
        <v>0.219996</v>
      </c>
      <c r="L52"/>
    </row>
    <row r="53" spans="3:12" x14ac:dyDescent="0.25">
      <c r="C53" s="20">
        <v>56</v>
      </c>
      <c r="D53" s="55">
        <f t="shared" ref="D53:D56" si="20">0.2037*1.08</f>
        <v>0.219996</v>
      </c>
      <c r="E53" s="55">
        <f t="shared" ref="E53:E56" si="21">0.1213*1.08</f>
        <v>0.13100400000000001</v>
      </c>
      <c r="F53" s="55">
        <f t="shared" ref="F53:F56" si="22">0.4148*1.08</f>
        <v>0.44798400000000005</v>
      </c>
      <c r="G53" s="55">
        <f t="shared" ref="G53:G56" si="23">0.2037*1.08</f>
        <v>0.219996</v>
      </c>
      <c r="L53"/>
    </row>
    <row r="54" spans="3:12" x14ac:dyDescent="0.25">
      <c r="C54" s="20">
        <v>57</v>
      </c>
      <c r="D54" s="55">
        <f t="shared" si="20"/>
        <v>0.219996</v>
      </c>
      <c r="E54" s="55">
        <f t="shared" si="21"/>
        <v>0.13100400000000001</v>
      </c>
      <c r="F54" s="55">
        <f t="shared" si="22"/>
        <v>0.44798400000000005</v>
      </c>
      <c r="G54" s="55">
        <f t="shared" si="23"/>
        <v>0.219996</v>
      </c>
      <c r="L54"/>
    </row>
    <row r="55" spans="3:12" x14ac:dyDescent="0.25">
      <c r="C55" s="20">
        <v>58</v>
      </c>
      <c r="D55" s="55">
        <f t="shared" si="20"/>
        <v>0.219996</v>
      </c>
      <c r="E55" s="55">
        <f t="shared" si="21"/>
        <v>0.13100400000000001</v>
      </c>
      <c r="F55" s="55">
        <f t="shared" si="22"/>
        <v>0.44798400000000005</v>
      </c>
      <c r="G55" s="55">
        <f t="shared" si="23"/>
        <v>0.219996</v>
      </c>
      <c r="L55"/>
    </row>
    <row r="56" spans="3:12" x14ac:dyDescent="0.25">
      <c r="C56" s="20">
        <v>59</v>
      </c>
      <c r="D56" s="55">
        <f t="shared" si="20"/>
        <v>0.219996</v>
      </c>
      <c r="E56" s="55">
        <f t="shared" si="21"/>
        <v>0.13100400000000001</v>
      </c>
      <c r="F56" s="55">
        <f t="shared" si="22"/>
        <v>0.44798400000000005</v>
      </c>
      <c r="G56" s="55">
        <f t="shared" si="23"/>
        <v>0.219996</v>
      </c>
      <c r="L56"/>
    </row>
    <row r="57" spans="3:12" x14ac:dyDescent="0.25">
      <c r="C57" s="20">
        <v>60</v>
      </c>
      <c r="D57" s="55">
        <f>0.3*1.08</f>
        <v>0.32400000000000001</v>
      </c>
      <c r="E57" s="55">
        <f>0.1981*1.08</f>
        <v>0.213948</v>
      </c>
      <c r="F57" s="55">
        <f>0.6*1.08</f>
        <v>0.64800000000000002</v>
      </c>
      <c r="G57" s="55">
        <f>0.3324*1.08</f>
        <v>0.35899199999999998</v>
      </c>
      <c r="L57"/>
    </row>
    <row r="58" spans="3:12" x14ac:dyDescent="0.25">
      <c r="C58" s="20">
        <v>61</v>
      </c>
      <c r="D58" s="55">
        <f t="shared" ref="D58:D61" si="24">0.3*1.08</f>
        <v>0.32400000000000001</v>
      </c>
      <c r="E58" s="55">
        <f t="shared" ref="E58:E61" si="25">0.1981*1.08</f>
        <v>0.213948</v>
      </c>
      <c r="F58" s="55">
        <f t="shared" ref="F58:F61" si="26">0.6*1.08</f>
        <v>0.64800000000000002</v>
      </c>
      <c r="G58" s="55">
        <f t="shared" ref="G58:G61" si="27">0.3324*1.08</f>
        <v>0.35899199999999998</v>
      </c>
      <c r="L58"/>
    </row>
    <row r="59" spans="3:12" x14ac:dyDescent="0.25">
      <c r="C59" s="20">
        <v>62</v>
      </c>
      <c r="D59" s="55">
        <f t="shared" si="24"/>
        <v>0.32400000000000001</v>
      </c>
      <c r="E59" s="55">
        <f t="shared" si="25"/>
        <v>0.213948</v>
      </c>
      <c r="F59" s="55">
        <f t="shared" si="26"/>
        <v>0.64800000000000002</v>
      </c>
      <c r="G59" s="55">
        <f t="shared" si="27"/>
        <v>0.35899199999999998</v>
      </c>
      <c r="L59"/>
    </row>
    <row r="60" spans="3:12" x14ac:dyDescent="0.25">
      <c r="C60" s="20">
        <v>63</v>
      </c>
      <c r="D60" s="55">
        <f t="shared" si="24"/>
        <v>0.32400000000000001</v>
      </c>
      <c r="E60" s="55">
        <f t="shared" si="25"/>
        <v>0.213948</v>
      </c>
      <c r="F60" s="55">
        <f t="shared" si="26"/>
        <v>0.64800000000000002</v>
      </c>
      <c r="G60" s="55">
        <f t="shared" si="27"/>
        <v>0.35899199999999998</v>
      </c>
      <c r="L60"/>
    </row>
    <row r="61" spans="3:12" x14ac:dyDescent="0.25">
      <c r="C61" s="20">
        <v>64</v>
      </c>
      <c r="D61" s="55">
        <f t="shared" si="24"/>
        <v>0.32400000000000001</v>
      </c>
      <c r="E61" s="55">
        <f t="shared" si="25"/>
        <v>0.213948</v>
      </c>
      <c r="F61" s="55">
        <f t="shared" si="26"/>
        <v>0.64800000000000002</v>
      </c>
      <c r="G61" s="55">
        <f t="shared" si="27"/>
        <v>0.35899199999999998</v>
      </c>
      <c r="L61"/>
    </row>
    <row r="62" spans="3:12" x14ac:dyDescent="0.25">
      <c r="C62" s="20">
        <v>65</v>
      </c>
      <c r="D62" s="55">
        <f>0.4343*1.08</f>
        <v>0.46904400000000007</v>
      </c>
      <c r="E62" s="55">
        <f>0.325*1.08</f>
        <v>0.35100000000000003</v>
      </c>
      <c r="F62" s="55">
        <f>0.8675*1.08</f>
        <v>0.93690000000000007</v>
      </c>
      <c r="G62" s="55">
        <f>0.5231*1.08</f>
        <v>0.56494800000000001</v>
      </c>
      <c r="L62"/>
    </row>
    <row r="63" spans="3:12" x14ac:dyDescent="0.25">
      <c r="C63" s="20">
        <v>66</v>
      </c>
      <c r="D63" s="55">
        <f t="shared" ref="D63:D66" si="28">0.4343*1.08</f>
        <v>0.46904400000000007</v>
      </c>
      <c r="E63" s="55">
        <f t="shared" ref="E63:E66" si="29">0.325*1.08</f>
        <v>0.35100000000000003</v>
      </c>
      <c r="F63" s="55">
        <f t="shared" ref="F63:F66" si="30">0.8675*1.08</f>
        <v>0.93690000000000007</v>
      </c>
      <c r="G63" s="55">
        <f t="shared" ref="G63:G66" si="31">0.5231*1.08</f>
        <v>0.56494800000000001</v>
      </c>
      <c r="L63"/>
    </row>
    <row r="64" spans="3:12" x14ac:dyDescent="0.25">
      <c r="C64" s="20">
        <v>67</v>
      </c>
      <c r="D64" s="55">
        <f t="shared" si="28"/>
        <v>0.46904400000000007</v>
      </c>
      <c r="E64" s="55">
        <f t="shared" si="29"/>
        <v>0.35100000000000003</v>
      </c>
      <c r="F64" s="55">
        <f t="shared" si="30"/>
        <v>0.93690000000000007</v>
      </c>
      <c r="G64" s="55">
        <f t="shared" si="31"/>
        <v>0.56494800000000001</v>
      </c>
      <c r="L64"/>
    </row>
    <row r="65" spans="3:12" x14ac:dyDescent="0.25">
      <c r="C65" s="20">
        <v>68</v>
      </c>
      <c r="D65" s="55">
        <f t="shared" si="28"/>
        <v>0.46904400000000007</v>
      </c>
      <c r="E65" s="55">
        <f t="shared" si="29"/>
        <v>0.35100000000000003</v>
      </c>
      <c r="F65" s="55">
        <f t="shared" si="30"/>
        <v>0.93690000000000007</v>
      </c>
      <c r="G65" s="55">
        <f t="shared" si="31"/>
        <v>0.56494800000000001</v>
      </c>
      <c r="L65"/>
    </row>
    <row r="66" spans="3:12" x14ac:dyDescent="0.25">
      <c r="C66" s="20">
        <v>69</v>
      </c>
      <c r="D66" s="55">
        <f t="shared" si="28"/>
        <v>0.46904400000000007</v>
      </c>
      <c r="E66" s="55">
        <f t="shared" si="29"/>
        <v>0.35100000000000003</v>
      </c>
      <c r="F66" s="55">
        <f t="shared" si="30"/>
        <v>0.93690000000000007</v>
      </c>
      <c r="G66" s="55">
        <f t="shared" si="31"/>
        <v>0.56494800000000001</v>
      </c>
      <c r="L66"/>
    </row>
    <row r="67" spans="3:12" x14ac:dyDescent="0.25">
      <c r="L67"/>
    </row>
    <row r="68" spans="3:12" x14ac:dyDescent="0.25">
      <c r="L68"/>
    </row>
    <row r="69" spans="3:12" x14ac:dyDescent="0.25">
      <c r="C69"/>
      <c r="D69"/>
      <c r="E69"/>
      <c r="F69"/>
      <c r="G69"/>
      <c r="L69"/>
    </row>
    <row r="70" spans="3:12" x14ac:dyDescent="0.25">
      <c r="C70"/>
      <c r="D70"/>
      <c r="E70"/>
      <c r="F70"/>
      <c r="G70"/>
      <c r="L70"/>
    </row>
    <row r="71" spans="3:12" x14ac:dyDescent="0.25">
      <c r="C71"/>
      <c r="D71"/>
      <c r="E71"/>
      <c r="F71"/>
      <c r="G71"/>
      <c r="L71"/>
    </row>
    <row r="72" spans="3:12" x14ac:dyDescent="0.25">
      <c r="C72"/>
      <c r="D72"/>
      <c r="E72"/>
      <c r="F72"/>
      <c r="G72"/>
      <c r="L72"/>
    </row>
    <row r="73" spans="3:12" x14ac:dyDescent="0.25">
      <c r="C73"/>
      <c r="D73"/>
      <c r="E73"/>
      <c r="F73"/>
      <c r="G73"/>
      <c r="L73"/>
    </row>
    <row r="74" spans="3:12" x14ac:dyDescent="0.25">
      <c r="C74"/>
      <c r="D74"/>
      <c r="E74"/>
      <c r="F74"/>
      <c r="G74"/>
      <c r="L74"/>
    </row>
    <row r="75" spans="3:12" x14ac:dyDescent="0.25">
      <c r="C75"/>
      <c r="D75"/>
      <c r="E75"/>
      <c r="F75"/>
      <c r="G75"/>
      <c r="L75"/>
    </row>
    <row r="76" spans="3:12" x14ac:dyDescent="0.25">
      <c r="C76"/>
      <c r="D76"/>
      <c r="E76"/>
      <c r="F76"/>
      <c r="G76"/>
      <c r="L76"/>
    </row>
    <row r="77" spans="3:12" x14ac:dyDescent="0.25">
      <c r="C77"/>
      <c r="D77"/>
      <c r="E77"/>
      <c r="F77"/>
      <c r="G77"/>
      <c r="L77"/>
    </row>
    <row r="78" spans="3:12" x14ac:dyDescent="0.25">
      <c r="C78"/>
      <c r="D78"/>
      <c r="E78"/>
      <c r="F78"/>
      <c r="G78"/>
      <c r="L78"/>
    </row>
    <row r="79" spans="3:12" x14ac:dyDescent="0.25">
      <c r="C79"/>
      <c r="D79"/>
      <c r="E79"/>
      <c r="F79"/>
      <c r="G79"/>
      <c r="L79"/>
    </row>
    <row r="80" spans="3:12" x14ac:dyDescent="0.25">
      <c r="C80"/>
      <c r="D80"/>
      <c r="E80"/>
      <c r="F80"/>
      <c r="G80"/>
      <c r="L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sheetData>
  <mergeCells count="3">
    <mergeCell ref="D18:E18"/>
    <mergeCell ref="F18:G18"/>
    <mergeCell ref="C16:G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10750C87D5164CA1F13AFA86797514" ma:contentTypeVersion="17" ma:contentTypeDescription="Create a new document." ma:contentTypeScope="" ma:versionID="aaca18fefd4bc3046dc809141d81c82b">
  <xsd:schema xmlns:xsd="http://www.w3.org/2001/XMLSchema" xmlns:xs="http://www.w3.org/2001/XMLSchema" xmlns:p="http://schemas.microsoft.com/office/2006/metadata/properties" xmlns:ns2="cda16466-81ff-404c-9b1b-7bbfcaeba2bb" xmlns:ns3="bef4176d-62bf-4f45-98eb-2ca70c6983a7" targetNamespace="http://schemas.microsoft.com/office/2006/metadata/properties" ma:root="true" ma:fieldsID="0349140035ddd3f94f72a6b7ef68a451" ns2:_="" ns3:_="">
    <xsd:import namespace="cda16466-81ff-404c-9b1b-7bbfcaeba2bb"/>
    <xsd:import namespace="bef4176d-62bf-4f45-98eb-2ca70c6983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MediaServiceDateTaken"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a16466-81ff-404c-9b1b-7bbfcaeba2b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f92418a-6fa4-4d03-9b8c-7390210c70a5}" ma:internalName="TaxCatchAll" ma:showField="CatchAllData" ma:web="cda16466-81ff-404c-9b1b-7bbfcaeba2b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f4176d-62bf-4f45-98eb-2ca70c6983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bf906fe-3e8e-4b22-a6fd-bde302b9218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a16466-81ff-404c-9b1b-7bbfcaeba2bb" xsi:nil="true"/>
    <lcf76f155ced4ddcb4097134ff3c332f xmlns="bef4176d-62bf-4f45-98eb-2ca70c6983a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A56180-7DBF-4245-BF0D-4666FD397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a16466-81ff-404c-9b1b-7bbfcaeba2bb"/>
    <ds:schemaRef ds:uri="bef4176d-62bf-4f45-98eb-2ca70c698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2ECB57-406C-46ED-991B-FAE034A39280}">
  <ds:schemaRefs>
    <ds:schemaRef ds:uri="http://schemas.microsoft.com/sharepoint/v3/contenttype/forms"/>
  </ds:schemaRefs>
</ds:datastoreItem>
</file>

<file path=customXml/itemProps3.xml><?xml version="1.0" encoding="utf-8"?>
<ds:datastoreItem xmlns:ds="http://schemas.openxmlformats.org/officeDocument/2006/customXml" ds:itemID="{12991E4C-C888-48CB-B5D3-7E1570AB9D26}">
  <ds:schemaRefs>
    <ds:schemaRef ds:uri="http://purl.org/dc/elements/1.1/"/>
    <ds:schemaRef ds:uri="http://purl.org/dc/terms/"/>
    <ds:schemaRef ds:uri="bef4176d-62bf-4f45-98eb-2ca70c6983a7"/>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cda16466-81ff-404c-9b1b-7bbfcaeba2bb"/>
    <ds:schemaRef ds:uri="http://schemas.microsoft.com/office/2006/metadata/properties"/>
  </ds:schemaRefs>
</ds:datastoreItem>
</file>

<file path=docMetadata/LabelInfo.xml><?xml version="1.0" encoding="utf-8"?>
<clbl:labelList xmlns:clbl="http://schemas.microsoft.com/office/2020/mipLabelMetadata">
  <clbl:label id="{a9ee03e0-b78c-4998-8bf4-79b266b85105}" enabled="1" method="Standard" siteId="{723a5a87-f39a-4a22-9247-3fc240c013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Rates Sheet</vt:lpstr>
      <vt:lpstr>Optional &amp; Spousal Life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Jelena Milenovic</dc:creator>
  <cp:keywords/>
  <dc:description/>
  <cp:lastModifiedBy>Jelena Milenovic</cp:lastModifiedBy>
  <cp:revision/>
  <dcterms:created xsi:type="dcterms:W3CDTF">2025-01-03T14:20:35Z</dcterms:created>
  <dcterms:modified xsi:type="dcterms:W3CDTF">2026-05-15T19:33:50Z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66946400</vt:r8>
  </property>
  <property fmtid="{D5CDD505-2E9C-101B-9397-08002B2CF9AE}" pid="3" name="MediaServiceImageTags">
    <vt:lpwstr/>
  </property>
  <property fmtid="{D5CDD505-2E9C-101B-9397-08002B2CF9AE}" pid="4" name="ContentTypeId">
    <vt:lpwstr>0x010100F610750C87D5164CA1F13AFA86797514</vt:lpwstr>
  </property>
</Properties>
</file>