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R:\scidean\SUO\Degree Checks\"/>
    </mc:Choice>
  </mc:AlternateContent>
  <xr:revisionPtr revIDLastSave="0" documentId="13_ncr:1_{A801AAFD-3198-4BF7-9839-E3F4A6596C38}" xr6:coauthVersionLast="47" xr6:coauthVersionMax="47" xr10:uidLastSave="{00000000-0000-0000-0000-000000000000}"/>
  <bookViews>
    <workbookView xWindow="-108" yWindow="-108" windowWidth="23256" windowHeight="13176" tabRatio="681" xr2:uid="{00000000-000D-0000-FFFF-FFFF00000000}"/>
  </bookViews>
  <sheets>
    <sheet name="Interface" sheetId="1" r:id="rId1"/>
    <sheet name="Print" sheetId="3" r:id="rId2"/>
    <sheet name="Constants" sheetId="2" r:id="rId3"/>
    <sheet name="Methods" sheetId="4" r:id="rId4"/>
    <sheet name="Revisions" sheetId="5" r:id="rId5"/>
  </sheets>
  <definedNames>
    <definedName name="_xlnm._FilterDatabase" localSheetId="2" hidden="1">Constants!$M$2:$M$19</definedName>
    <definedName name="_xlnm._FilterDatabase" localSheetId="0" hidden="1">Interface!$B$2:$F$2</definedName>
    <definedName name="AHS">Constants!$J$3:$J$8</definedName>
    <definedName name="AllDept">Constants!$E$2:$E$110</definedName>
    <definedName name="Arts">Constants!$G$3:$G$61</definedName>
    <definedName name="BiolAvgCalc">Methods!$B$24</definedName>
    <definedName name="BiolExclusionRemover">Methods!$B$28</definedName>
    <definedName name="BIOLLECCount100">Methods!$B$20</definedName>
    <definedName name="BIOLlist">Constants!$M$2:$M$19</definedName>
    <definedName name="BIOLlookup">Interface!$C:$H</definedName>
    <definedName name="ChemAvgCalc">Methods!$B$23</definedName>
    <definedName name="CountAll">Methods!$B$9</definedName>
    <definedName name="CountFail">Methods!$B$12</definedName>
    <definedName name="CountSCILabel">Methods!$B$13</definedName>
    <definedName name="Course_Mark">Interface!$E:$E</definedName>
    <definedName name="Course_Number">Interface!$C:$C</definedName>
    <definedName name="Course_Type">Interface!$D:$D</definedName>
    <definedName name="Course_Weight">Interface!$G:$G</definedName>
    <definedName name="Department">Interface!$B:$B</definedName>
    <definedName name="EarthAvgCalc">Methods!$B$21</definedName>
    <definedName name="Eng">Constants!$H$3:$H$16</definedName>
    <definedName name="ENV">Constants!$I$3:$I$10</definedName>
    <definedName name="Faculty">Interface!$A:$A</definedName>
    <definedName name="FacultyDropList">Constants!$A$2:$A$8</definedName>
    <definedName name="Failed_Units">Interface!$J$31</definedName>
    <definedName name="FailMax">Constants!$B$29</definedName>
    <definedName name="FYBIOL1">Interface!$M$35</definedName>
    <definedName name="FYBIOL1Labs">Methods!$B$17</definedName>
    <definedName name="FYBIOL2">Interface!$M$36</definedName>
    <definedName name="FYBIOL2Labs">Methods!$B$18</definedName>
    <definedName name="FYBIOLCHECK">Interface!$B$2:$H$50</definedName>
    <definedName name="FYLabWeight">Methods!$B$1</definedName>
    <definedName name="Grade_Points">Interface!$H:$H</definedName>
    <definedName name="LabCount100Biol">Methods!$B$4</definedName>
    <definedName name="LabCount200">Methods!$B$3</definedName>
    <definedName name="LabCount300">Methods!$B$2</definedName>
    <definedName name="LabCountAll">Methods!$B$8</definedName>
    <definedName name="LabCounter200">Methods!$B$26</definedName>
    <definedName name="LabCounter300">Methods!#REF!</definedName>
    <definedName name="LabsMax">Constants!$B$26</definedName>
    <definedName name="LabUnits">Interface!$J$30</definedName>
    <definedName name="LEC_Units">Interface!$J$25</definedName>
    <definedName name="LECMin">Constants!$B$22</definedName>
    <definedName name="MajorPlan">Interface!#REF!</definedName>
    <definedName name="MajorPlanDropList">Constants!$B$13:$B$18</definedName>
    <definedName name="MarkMin">Constants!$B$28</definedName>
    <definedName name="Math">Constants!$F$2:$F$14</definedName>
    <definedName name="Math_Units">Interface!$J$29</definedName>
    <definedName name="MathCountAll">Methods!$B$11</definedName>
    <definedName name="MathCountNotAllowed">Methods!$B$14</definedName>
    <definedName name="MathDept">Constants!$F$3:$F$14</definedName>
    <definedName name="MathMin">Constants!$B$27</definedName>
    <definedName name="MISC">Constants!$L$3:$L$7</definedName>
    <definedName name="OverallAvg">Constants!$B$31</definedName>
    <definedName name="OverallAvgCalc">Methods!$B$6</definedName>
    <definedName name="PhysAvgCalc">Methods!$B$22</definedName>
    <definedName name="_xlnm.Print_Area" localSheetId="0">Interface!$A$1:$N$50</definedName>
    <definedName name="PrintList">Interface!$B$2:$F$99</definedName>
    <definedName name="PrintResults">Interface!$I$1:$N$41</definedName>
    <definedName name="RemainingLabs200">Methods!$B$25</definedName>
    <definedName name="RemainingLabs300">Methods!$B$27</definedName>
    <definedName name="SCI">Constants!$B$2:$B$9</definedName>
    <definedName name="SCI_COURSE">Constants!$B$3,Constants!$B$4,Constants!$B$5,Constants!$B$7,Constants!$B$8</definedName>
    <definedName name="SCI_Label">Interface!$J$32</definedName>
    <definedName name="SCI_Units">Interface!$J$26</definedName>
    <definedName name="SciAvg">Constants!$B$32</definedName>
    <definedName name="SciAvgCalc">Methods!$B$7</definedName>
    <definedName name="SciCount200">Methods!$B$19</definedName>
    <definedName name="SciCount300">Methods!$B$5</definedName>
    <definedName name="SciCountAll">Methods!$B$10</definedName>
    <definedName name="SciCountNotAllowed">Methods!$B$16</definedName>
    <definedName name="SciDept">Constants!$K$3:$K$8</definedName>
    <definedName name="ScienceMin">Constants!$B$23</definedName>
    <definedName name="SciGPANotAllowed">Methods!$B$15</definedName>
    <definedName name="SCIMax">Constants!$B$30</definedName>
    <definedName name="ThreeHun_Units">Interface!$J$28</definedName>
    <definedName name="ThreeHunMin">Constants!$B$25</definedName>
    <definedName name="Total_Units">Interface!$J$24</definedName>
    <definedName name="TotalMin">Constants!$B$21</definedName>
    <definedName name="TwoHun_Units">Interface!$J$27</definedName>
    <definedName name="TwoHunMin">Constants!$B$24</definedName>
    <definedName name="TypeDropList">Constants!$C$2:$C$8</definedName>
    <definedName name="Year1Bio?">Interface!$M$34</definedName>
    <definedName name="Year1Chem?">Interface!$J$34</definedName>
    <definedName name="Year1Earth?">Interface!$K$34</definedName>
    <definedName name="Year1Phys?">Interface!$L$34</definedName>
    <definedName name="YesNo">Constants!$D$2:$D$4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3" i="1"/>
  <c r="J33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3" i="1"/>
  <c r="H3" i="1"/>
  <c r="B28" i="4" l="1"/>
  <c r="H4" i="1"/>
  <c r="H5" i="1"/>
  <c r="B20" i="4"/>
  <c r="H7" i="1"/>
  <c r="H8" i="1"/>
  <c r="H9" i="1"/>
  <c r="H10" i="1"/>
  <c r="H11" i="1"/>
  <c r="H12" i="1"/>
  <c r="H13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F48" i="3"/>
  <c r="H36" i="1"/>
  <c r="B4" i="4"/>
  <c r="H14" i="1"/>
  <c r="H15" i="1"/>
  <c r="J34" i="1"/>
  <c r="B32" i="3" s="1"/>
  <c r="K34" i="1"/>
  <c r="C32" i="3" s="1"/>
  <c r="H17" i="1"/>
  <c r="B23" i="4"/>
  <c r="H16" i="1"/>
  <c r="B17" i="4"/>
  <c r="B18" i="4"/>
  <c r="B16" i="4"/>
  <c r="B13" i="4" s="1"/>
  <c r="J32" i="1" s="1"/>
  <c r="H19" i="1"/>
  <c r="H35" i="1"/>
  <c r="H41" i="1"/>
  <c r="H21" i="1"/>
  <c r="H22" i="1"/>
  <c r="H23" i="1"/>
  <c r="H24" i="1"/>
  <c r="H25" i="1"/>
  <c r="H26" i="1"/>
  <c r="H27" i="1"/>
  <c r="H30" i="1"/>
  <c r="H33" i="1"/>
  <c r="H34" i="1"/>
  <c r="H37" i="1"/>
  <c r="H38" i="1"/>
  <c r="H20" i="1"/>
  <c r="H29" i="1"/>
  <c r="B22" i="4"/>
  <c r="H32" i="1"/>
  <c r="H44" i="1"/>
  <c r="H45" i="1"/>
  <c r="H46" i="1"/>
  <c r="H31" i="1"/>
  <c r="H28" i="1"/>
  <c r="H42" i="1"/>
  <c r="H40" i="1"/>
  <c r="H43" i="1"/>
  <c r="A40" i="3"/>
  <c r="B15" i="4"/>
  <c r="C36" i="3"/>
  <c r="A49" i="3"/>
  <c r="B49" i="3"/>
  <c r="C49" i="3"/>
  <c r="D49" i="3"/>
  <c r="E49" i="3"/>
  <c r="A50" i="3"/>
  <c r="B50" i="3"/>
  <c r="C50" i="3"/>
  <c r="D50" i="3"/>
  <c r="E50" i="3"/>
  <c r="A51" i="3"/>
  <c r="B51" i="3"/>
  <c r="C51" i="3"/>
  <c r="D51" i="3"/>
  <c r="E51" i="3"/>
  <c r="A52" i="3"/>
  <c r="B52" i="3"/>
  <c r="C52" i="3"/>
  <c r="D52" i="3"/>
  <c r="E52" i="3"/>
  <c r="A53" i="3"/>
  <c r="B53" i="3"/>
  <c r="C53" i="3"/>
  <c r="D53" i="3"/>
  <c r="E53" i="3"/>
  <c r="A54" i="3"/>
  <c r="B54" i="3"/>
  <c r="C54" i="3"/>
  <c r="D54" i="3"/>
  <c r="E54" i="3"/>
  <c r="A55" i="3"/>
  <c r="B55" i="3"/>
  <c r="C55" i="3"/>
  <c r="D55" i="3"/>
  <c r="E55" i="3"/>
  <c r="A56" i="3"/>
  <c r="B56" i="3"/>
  <c r="C56" i="3"/>
  <c r="D56" i="3"/>
  <c r="E56" i="3"/>
  <c r="A57" i="3"/>
  <c r="B57" i="3"/>
  <c r="C57" i="3"/>
  <c r="D57" i="3"/>
  <c r="E57" i="3"/>
  <c r="A58" i="3"/>
  <c r="B58" i="3"/>
  <c r="C58" i="3"/>
  <c r="D58" i="3"/>
  <c r="E58" i="3"/>
  <c r="A59" i="3"/>
  <c r="B59" i="3"/>
  <c r="C59" i="3"/>
  <c r="D59" i="3"/>
  <c r="E59" i="3"/>
  <c r="A60" i="3"/>
  <c r="B60" i="3"/>
  <c r="C60" i="3"/>
  <c r="D60" i="3"/>
  <c r="E60" i="3"/>
  <c r="A61" i="3"/>
  <c r="B61" i="3"/>
  <c r="C61" i="3"/>
  <c r="D61" i="3"/>
  <c r="E61" i="3"/>
  <c r="A62" i="3"/>
  <c r="B62" i="3"/>
  <c r="C62" i="3"/>
  <c r="D62" i="3"/>
  <c r="E62" i="3"/>
  <c r="A63" i="3"/>
  <c r="B63" i="3"/>
  <c r="C63" i="3"/>
  <c r="D63" i="3"/>
  <c r="E63" i="3"/>
  <c r="A64" i="3"/>
  <c r="B64" i="3"/>
  <c r="C64" i="3"/>
  <c r="D64" i="3"/>
  <c r="E64" i="3"/>
  <c r="A65" i="3"/>
  <c r="B65" i="3"/>
  <c r="C65" i="3"/>
  <c r="D65" i="3"/>
  <c r="E65" i="3"/>
  <c r="A66" i="3"/>
  <c r="B66" i="3"/>
  <c r="C66" i="3"/>
  <c r="D66" i="3"/>
  <c r="E66" i="3"/>
  <c r="A67" i="3"/>
  <c r="B67" i="3"/>
  <c r="C67" i="3"/>
  <c r="D67" i="3"/>
  <c r="E67" i="3"/>
  <c r="A68" i="3"/>
  <c r="B68" i="3"/>
  <c r="C68" i="3"/>
  <c r="D68" i="3"/>
  <c r="E68" i="3"/>
  <c r="A69" i="3"/>
  <c r="B69" i="3"/>
  <c r="C69" i="3"/>
  <c r="D69" i="3"/>
  <c r="E69" i="3"/>
  <c r="A70" i="3"/>
  <c r="B70" i="3"/>
  <c r="C70" i="3"/>
  <c r="D70" i="3"/>
  <c r="E70" i="3"/>
  <c r="A71" i="3"/>
  <c r="B71" i="3"/>
  <c r="C71" i="3"/>
  <c r="D71" i="3"/>
  <c r="E71" i="3"/>
  <c r="A72" i="3"/>
  <c r="B72" i="3"/>
  <c r="C72" i="3"/>
  <c r="D72" i="3"/>
  <c r="E72" i="3"/>
  <c r="A73" i="3"/>
  <c r="B73" i="3"/>
  <c r="C73" i="3"/>
  <c r="D73" i="3"/>
  <c r="E73" i="3"/>
  <c r="A74" i="3"/>
  <c r="B74" i="3"/>
  <c r="C74" i="3"/>
  <c r="D74" i="3"/>
  <c r="E74" i="3"/>
  <c r="A75" i="3"/>
  <c r="B75" i="3"/>
  <c r="C75" i="3"/>
  <c r="D75" i="3"/>
  <c r="E75" i="3"/>
  <c r="A76" i="3"/>
  <c r="B76" i="3"/>
  <c r="C76" i="3"/>
  <c r="D76" i="3"/>
  <c r="E76" i="3"/>
  <c r="A77" i="3"/>
  <c r="B77" i="3"/>
  <c r="C77" i="3"/>
  <c r="D77" i="3"/>
  <c r="E77" i="3"/>
  <c r="A78" i="3"/>
  <c r="B78" i="3"/>
  <c r="C78" i="3"/>
  <c r="D78" i="3"/>
  <c r="E78" i="3"/>
  <c r="A79" i="3"/>
  <c r="B79" i="3"/>
  <c r="C79" i="3"/>
  <c r="D79" i="3"/>
  <c r="E79" i="3"/>
  <c r="A80" i="3"/>
  <c r="B80" i="3"/>
  <c r="C80" i="3"/>
  <c r="D80" i="3"/>
  <c r="E80" i="3"/>
  <c r="A81" i="3"/>
  <c r="B81" i="3"/>
  <c r="C81" i="3"/>
  <c r="D81" i="3"/>
  <c r="E81" i="3"/>
  <c r="A82" i="3"/>
  <c r="B82" i="3"/>
  <c r="C82" i="3"/>
  <c r="D82" i="3"/>
  <c r="E82" i="3"/>
  <c r="A83" i="3"/>
  <c r="B83" i="3"/>
  <c r="C83" i="3"/>
  <c r="D83" i="3"/>
  <c r="E83" i="3"/>
  <c r="A84" i="3"/>
  <c r="B84" i="3"/>
  <c r="C84" i="3"/>
  <c r="D84" i="3"/>
  <c r="E84" i="3"/>
  <c r="A85" i="3"/>
  <c r="B85" i="3"/>
  <c r="C85" i="3"/>
  <c r="D85" i="3"/>
  <c r="E85" i="3"/>
  <c r="A86" i="3"/>
  <c r="B86" i="3"/>
  <c r="C86" i="3"/>
  <c r="D86" i="3"/>
  <c r="E86" i="3"/>
  <c r="A87" i="3"/>
  <c r="B87" i="3"/>
  <c r="C87" i="3"/>
  <c r="D87" i="3"/>
  <c r="E87" i="3"/>
  <c r="A88" i="3"/>
  <c r="B88" i="3"/>
  <c r="C88" i="3"/>
  <c r="D88" i="3"/>
  <c r="E88" i="3"/>
  <c r="A89" i="3"/>
  <c r="B89" i="3"/>
  <c r="C89" i="3"/>
  <c r="D89" i="3"/>
  <c r="E89" i="3"/>
  <c r="A90" i="3"/>
  <c r="B90" i="3"/>
  <c r="C90" i="3"/>
  <c r="D90" i="3"/>
  <c r="E90" i="3"/>
  <c r="A91" i="3"/>
  <c r="B91" i="3"/>
  <c r="C91" i="3"/>
  <c r="D91" i="3"/>
  <c r="E91" i="3"/>
  <c r="A92" i="3"/>
  <c r="B92" i="3"/>
  <c r="C92" i="3"/>
  <c r="D92" i="3"/>
  <c r="E92" i="3"/>
  <c r="A93" i="3"/>
  <c r="B93" i="3"/>
  <c r="C93" i="3"/>
  <c r="D93" i="3"/>
  <c r="E93" i="3"/>
  <c r="A94" i="3"/>
  <c r="B94" i="3"/>
  <c r="C94" i="3"/>
  <c r="D94" i="3"/>
  <c r="E94" i="3"/>
  <c r="A95" i="3"/>
  <c r="B95" i="3"/>
  <c r="C95" i="3"/>
  <c r="D95" i="3"/>
  <c r="E95" i="3"/>
  <c r="A96" i="3"/>
  <c r="B96" i="3"/>
  <c r="C96" i="3"/>
  <c r="D96" i="3"/>
  <c r="E96" i="3"/>
  <c r="A97" i="3"/>
  <c r="B97" i="3"/>
  <c r="C97" i="3"/>
  <c r="D97" i="3"/>
  <c r="E97" i="3"/>
  <c r="A98" i="3"/>
  <c r="B98" i="3"/>
  <c r="C98" i="3"/>
  <c r="D98" i="3"/>
  <c r="E98" i="3"/>
  <c r="A99" i="3"/>
  <c r="B99" i="3"/>
  <c r="C99" i="3"/>
  <c r="D99" i="3"/>
  <c r="E99" i="3"/>
  <c r="A100" i="3"/>
  <c r="B100" i="3"/>
  <c r="C100" i="3"/>
  <c r="D100" i="3"/>
  <c r="E100" i="3"/>
  <c r="A101" i="3"/>
  <c r="B101" i="3"/>
  <c r="C101" i="3"/>
  <c r="D101" i="3"/>
  <c r="E101" i="3"/>
  <c r="A102" i="3"/>
  <c r="B102" i="3"/>
  <c r="C102" i="3"/>
  <c r="D102" i="3"/>
  <c r="E102" i="3"/>
  <c r="A103" i="3"/>
  <c r="B103" i="3"/>
  <c r="C103" i="3"/>
  <c r="D103" i="3"/>
  <c r="E103" i="3"/>
  <c r="A104" i="3"/>
  <c r="B104" i="3"/>
  <c r="C104" i="3"/>
  <c r="D104" i="3"/>
  <c r="E104" i="3"/>
  <c r="A105" i="3"/>
  <c r="B105" i="3"/>
  <c r="C105" i="3"/>
  <c r="D105" i="3"/>
  <c r="E105" i="3"/>
  <c r="A106" i="3"/>
  <c r="B106" i="3"/>
  <c r="C106" i="3"/>
  <c r="D106" i="3"/>
  <c r="E106" i="3"/>
  <c r="A107" i="3"/>
  <c r="B107" i="3"/>
  <c r="C107" i="3"/>
  <c r="D107" i="3"/>
  <c r="E107" i="3"/>
  <c r="A108" i="3"/>
  <c r="B108" i="3"/>
  <c r="C108" i="3"/>
  <c r="D108" i="3"/>
  <c r="E108" i="3"/>
  <c r="A109" i="3"/>
  <c r="B109" i="3"/>
  <c r="C109" i="3"/>
  <c r="D109" i="3"/>
  <c r="E109" i="3"/>
  <c r="A110" i="3"/>
  <c r="B110" i="3"/>
  <c r="C110" i="3"/>
  <c r="D110" i="3"/>
  <c r="E110" i="3"/>
  <c r="A111" i="3"/>
  <c r="B111" i="3"/>
  <c r="C111" i="3"/>
  <c r="D111" i="3"/>
  <c r="E111" i="3"/>
  <c r="A112" i="3"/>
  <c r="B112" i="3"/>
  <c r="C112" i="3"/>
  <c r="D112" i="3"/>
  <c r="E112" i="3"/>
  <c r="A113" i="3"/>
  <c r="B113" i="3"/>
  <c r="C113" i="3"/>
  <c r="D113" i="3"/>
  <c r="E113" i="3"/>
  <c r="A114" i="3"/>
  <c r="B114" i="3"/>
  <c r="C114" i="3"/>
  <c r="D114" i="3"/>
  <c r="E114" i="3"/>
  <c r="A115" i="3"/>
  <c r="B115" i="3"/>
  <c r="C115" i="3"/>
  <c r="D115" i="3"/>
  <c r="E115" i="3"/>
  <c r="A116" i="3"/>
  <c r="B116" i="3"/>
  <c r="C116" i="3"/>
  <c r="D116" i="3"/>
  <c r="E116" i="3"/>
  <c r="A117" i="3"/>
  <c r="B117" i="3"/>
  <c r="C117" i="3"/>
  <c r="D117" i="3"/>
  <c r="E117" i="3"/>
  <c r="A118" i="3"/>
  <c r="B118" i="3"/>
  <c r="C118" i="3"/>
  <c r="D118" i="3"/>
  <c r="E118" i="3"/>
  <c r="A119" i="3"/>
  <c r="B119" i="3"/>
  <c r="C119" i="3"/>
  <c r="D119" i="3"/>
  <c r="E119" i="3"/>
  <c r="A120" i="3"/>
  <c r="B120" i="3"/>
  <c r="C120" i="3"/>
  <c r="D120" i="3"/>
  <c r="E120" i="3"/>
  <c r="A121" i="3"/>
  <c r="B121" i="3"/>
  <c r="C121" i="3"/>
  <c r="D121" i="3"/>
  <c r="E121" i="3"/>
  <c r="A122" i="3"/>
  <c r="B122" i="3"/>
  <c r="C122" i="3"/>
  <c r="D122" i="3"/>
  <c r="E122" i="3"/>
  <c r="A123" i="3"/>
  <c r="B123" i="3"/>
  <c r="C123" i="3"/>
  <c r="D123" i="3"/>
  <c r="E123" i="3"/>
  <c r="A124" i="3"/>
  <c r="B124" i="3"/>
  <c r="C124" i="3"/>
  <c r="D124" i="3"/>
  <c r="E124" i="3"/>
  <c r="A125" i="3"/>
  <c r="B125" i="3"/>
  <c r="C125" i="3"/>
  <c r="D125" i="3"/>
  <c r="E125" i="3"/>
  <c r="A126" i="3"/>
  <c r="B126" i="3"/>
  <c r="C126" i="3"/>
  <c r="D126" i="3"/>
  <c r="E126" i="3"/>
  <c r="A127" i="3"/>
  <c r="B127" i="3"/>
  <c r="C127" i="3"/>
  <c r="D127" i="3"/>
  <c r="E127" i="3"/>
  <c r="A128" i="3"/>
  <c r="B128" i="3"/>
  <c r="C128" i="3"/>
  <c r="D128" i="3"/>
  <c r="E128" i="3"/>
  <c r="A129" i="3"/>
  <c r="B129" i="3"/>
  <c r="C129" i="3"/>
  <c r="D129" i="3"/>
  <c r="E129" i="3"/>
  <c r="A130" i="3"/>
  <c r="B130" i="3"/>
  <c r="C130" i="3"/>
  <c r="D130" i="3"/>
  <c r="E130" i="3"/>
  <c r="A131" i="3"/>
  <c r="B131" i="3"/>
  <c r="C131" i="3"/>
  <c r="D131" i="3"/>
  <c r="E131" i="3"/>
  <c r="A132" i="3"/>
  <c r="B132" i="3"/>
  <c r="C132" i="3"/>
  <c r="D132" i="3"/>
  <c r="E132" i="3"/>
  <c r="A133" i="3"/>
  <c r="B133" i="3"/>
  <c r="C133" i="3"/>
  <c r="D133" i="3"/>
  <c r="E133" i="3"/>
  <c r="A134" i="3"/>
  <c r="B134" i="3"/>
  <c r="C134" i="3"/>
  <c r="D134" i="3"/>
  <c r="E134" i="3"/>
  <c r="A135" i="3"/>
  <c r="B135" i="3"/>
  <c r="C135" i="3"/>
  <c r="D135" i="3"/>
  <c r="E135" i="3"/>
  <c r="A136" i="3"/>
  <c r="B136" i="3"/>
  <c r="C136" i="3"/>
  <c r="D136" i="3"/>
  <c r="E136" i="3"/>
  <c r="A137" i="3"/>
  <c r="B137" i="3"/>
  <c r="C137" i="3"/>
  <c r="D137" i="3"/>
  <c r="E137" i="3"/>
  <c r="A138" i="3"/>
  <c r="B138" i="3"/>
  <c r="C138" i="3"/>
  <c r="D138" i="3"/>
  <c r="E138" i="3"/>
  <c r="A139" i="3"/>
  <c r="B139" i="3"/>
  <c r="C139" i="3"/>
  <c r="D139" i="3"/>
  <c r="E139" i="3"/>
  <c r="B48" i="3"/>
  <c r="C48" i="3"/>
  <c r="D48" i="3"/>
  <c r="E48" i="3"/>
  <c r="A48" i="3"/>
  <c r="C37" i="3"/>
  <c r="C38" i="3"/>
  <c r="C39" i="3"/>
  <c r="C35" i="3"/>
  <c r="E34" i="3"/>
  <c r="E33" i="3"/>
  <c r="B31" i="3"/>
  <c r="H39" i="1"/>
  <c r="B21" i="4"/>
  <c r="B12" i="4"/>
  <c r="J31" i="1" s="1"/>
  <c r="H18" i="1"/>
  <c r="B8" i="4"/>
  <c r="J30" i="1" s="1"/>
  <c r="B28" i="3" s="1"/>
  <c r="B9" i="4"/>
  <c r="H6" i="1"/>
  <c r="L34" i="1"/>
  <c r="D32" i="3" s="1"/>
  <c r="M34" i="1"/>
  <c r="E32" i="3" s="1"/>
  <c r="B24" i="4"/>
  <c r="J24" i="1" l="1"/>
  <c r="K24" i="1" s="1"/>
  <c r="J25" i="1"/>
  <c r="B23" i="3" s="1"/>
  <c r="B3" i="4"/>
  <c r="B11" i="4"/>
  <c r="B10" i="4"/>
  <c r="J26" i="1" s="1"/>
  <c r="C24" i="3" s="1"/>
  <c r="B6" i="4"/>
  <c r="J20" i="1" s="1"/>
  <c r="B18" i="3" s="1"/>
  <c r="K31" i="1"/>
  <c r="B29" i="3"/>
  <c r="C29" i="3"/>
  <c r="K32" i="1"/>
  <c r="C30" i="3"/>
  <c r="B30" i="3"/>
  <c r="B7" i="4"/>
  <c r="J21" i="1" s="1"/>
  <c r="B19" i="3" s="1"/>
  <c r="C28" i="3"/>
  <c r="B5" i="4"/>
  <c r="B1" i="4"/>
  <c r="K30" i="1"/>
  <c r="B2" i="4"/>
  <c r="B14" i="4"/>
  <c r="B19" i="4"/>
  <c r="B27" i="3"/>
  <c r="J29" i="1" l="1"/>
  <c r="C27" i="3" s="1"/>
  <c r="C23" i="3"/>
  <c r="C22" i="3"/>
  <c r="B22" i="3"/>
  <c r="K25" i="1"/>
  <c r="K26" i="1"/>
  <c r="B24" i="3"/>
  <c r="B26" i="4"/>
  <c r="B25" i="4" s="1"/>
  <c r="J27" i="1" s="1"/>
  <c r="B27" i="4"/>
  <c r="J28" i="1" s="1"/>
  <c r="K29" i="1" l="1"/>
  <c r="B25" i="3"/>
  <c r="K27" i="1"/>
  <c r="C25" i="3"/>
  <c r="C26" i="3"/>
  <c r="K28" i="1"/>
  <c r="B26" i="3"/>
</calcChain>
</file>

<file path=xl/sharedStrings.xml><?xml version="1.0" encoding="utf-8"?>
<sst xmlns="http://schemas.openxmlformats.org/spreadsheetml/2006/main" count="441" uniqueCount="259">
  <si>
    <t>Number</t>
  </si>
  <si>
    <t>Type</t>
  </si>
  <si>
    <t>Mark</t>
  </si>
  <si>
    <t>BIOL</t>
  </si>
  <si>
    <t>CHEM</t>
  </si>
  <si>
    <t>EARTH</t>
  </si>
  <si>
    <t>MATH</t>
  </si>
  <si>
    <t>PHYS</t>
  </si>
  <si>
    <t>SCI</t>
  </si>
  <si>
    <t>LEC</t>
  </si>
  <si>
    <t>LAB.25</t>
  </si>
  <si>
    <t>LAB.50</t>
  </si>
  <si>
    <t>Overall Average</t>
  </si>
  <si>
    <t>Weight</t>
  </si>
  <si>
    <t>Science Average</t>
  </si>
  <si>
    <t>Grade Points</t>
  </si>
  <si>
    <t>Department</t>
  </si>
  <si>
    <t>Major Plan</t>
  </si>
  <si>
    <t>Honours Science</t>
  </si>
  <si>
    <t>General Science</t>
  </si>
  <si>
    <t>Biology</t>
  </si>
  <si>
    <t>Chemistry</t>
  </si>
  <si>
    <t>Earth Sciences</t>
  </si>
  <si>
    <t>Physics</t>
  </si>
  <si>
    <t>Averages</t>
  </si>
  <si>
    <t>Total</t>
  </si>
  <si>
    <t>Math</t>
  </si>
  <si>
    <t>Failed Units</t>
  </si>
  <si>
    <t>SCI-Labelled</t>
  </si>
  <si>
    <t>Yes/No</t>
  </si>
  <si>
    <t>No</t>
  </si>
  <si>
    <t>Faculty</t>
  </si>
  <si>
    <t>ARTS</t>
  </si>
  <si>
    <t>ENG</t>
  </si>
  <si>
    <t>ENV</t>
  </si>
  <si>
    <t>AHS</t>
  </si>
  <si>
    <t>PSYCH</t>
  </si>
  <si>
    <t>CS</t>
  </si>
  <si>
    <t>MathDept</t>
  </si>
  <si>
    <t>ArtsDept</t>
  </si>
  <si>
    <t>EngDept</t>
  </si>
  <si>
    <t>ENVDept</t>
  </si>
  <si>
    <t>ACTSC</t>
  </si>
  <si>
    <t>AMATH</t>
  </si>
  <si>
    <t>CO</t>
  </si>
  <si>
    <t>COMM</t>
  </si>
  <si>
    <t>CM</t>
  </si>
  <si>
    <t>MATBUS</t>
  </si>
  <si>
    <t>MTHEL</t>
  </si>
  <si>
    <t>PMATH</t>
  </si>
  <si>
    <t>SE</t>
  </si>
  <si>
    <t>STAT</t>
  </si>
  <si>
    <t>AFM</t>
  </si>
  <si>
    <t>ANTH</t>
  </si>
  <si>
    <t>APPLS</t>
  </si>
  <si>
    <t>CHINA</t>
  </si>
  <si>
    <t>CMW</t>
  </si>
  <si>
    <t>CLAS</t>
  </si>
  <si>
    <t>CROAT</t>
  </si>
  <si>
    <t>DAC</t>
  </si>
  <si>
    <t>DRAMA</t>
  </si>
  <si>
    <t>DUTCH</t>
  </si>
  <si>
    <t>EASIA</t>
  </si>
  <si>
    <t>ECON</t>
  </si>
  <si>
    <t>ENGL</t>
  </si>
  <si>
    <t>ESL</t>
  </si>
  <si>
    <t>FINE</t>
  </si>
  <si>
    <t>FR</t>
  </si>
  <si>
    <t>GER</t>
  </si>
  <si>
    <t>GRK</t>
  </si>
  <si>
    <t>HIST</t>
  </si>
  <si>
    <t>HRM</t>
  </si>
  <si>
    <t>HUMSC</t>
  </si>
  <si>
    <t>IS</t>
  </si>
  <si>
    <t>ISS</t>
  </si>
  <si>
    <t>INTST</t>
  </si>
  <si>
    <t>INTTS</t>
  </si>
  <si>
    <t>ITAL</t>
  </si>
  <si>
    <t>ITALST</t>
  </si>
  <si>
    <t>JAPAN</t>
  </si>
  <si>
    <t>JS</t>
  </si>
  <si>
    <t>KOREA</t>
  </si>
  <si>
    <t>LAT</t>
  </si>
  <si>
    <t>LS</t>
  </si>
  <si>
    <t>MEDVL</t>
  </si>
  <si>
    <t>MUSIC</t>
  </si>
  <si>
    <t>NATST</t>
  </si>
  <si>
    <t>PACS</t>
  </si>
  <si>
    <t>PHIL</t>
  </si>
  <si>
    <t>POLSH</t>
  </si>
  <si>
    <t>PSCI</t>
  </si>
  <si>
    <t>PORT</t>
  </si>
  <si>
    <t>RS</t>
  </si>
  <si>
    <t>RUSS</t>
  </si>
  <si>
    <t>REES</t>
  </si>
  <si>
    <t>SMF</t>
  </si>
  <si>
    <t>SOCWK</t>
  </si>
  <si>
    <t>SPAN</t>
  </si>
  <si>
    <t>SPCOM</t>
  </si>
  <si>
    <t>SPD</t>
  </si>
  <si>
    <t>SI</t>
  </si>
  <si>
    <t>VCULT</t>
  </si>
  <si>
    <t>WS</t>
  </si>
  <si>
    <t>ARCH</t>
  </si>
  <si>
    <t>CHE</t>
  </si>
  <si>
    <t>CIVE</t>
  </si>
  <si>
    <t>ECE</t>
  </si>
  <si>
    <t>ENVE</t>
  </si>
  <si>
    <t>GENE</t>
  </si>
  <si>
    <t>GEOE</t>
  </si>
  <si>
    <t>MSCI</t>
  </si>
  <si>
    <t>ME</t>
  </si>
  <si>
    <t>MTE</t>
  </si>
  <si>
    <t>NE</t>
  </si>
  <si>
    <t>SYDE</t>
  </si>
  <si>
    <t>AVIA</t>
  </si>
  <si>
    <t>ENBUS</t>
  </si>
  <si>
    <t>ERS</t>
  </si>
  <si>
    <t>ENVS</t>
  </si>
  <si>
    <t>GEOG</t>
  </si>
  <si>
    <t>INDEV</t>
  </si>
  <si>
    <t>INTEG</t>
  </si>
  <si>
    <t>PLAN</t>
  </si>
  <si>
    <t>GERON</t>
  </si>
  <si>
    <t>HLTH</t>
  </si>
  <si>
    <t>KIN</t>
  </si>
  <si>
    <t>REC</t>
  </si>
  <si>
    <t>First Year+Labs, Two of:</t>
  </si>
  <si>
    <t>BIOL Courses</t>
  </si>
  <si>
    <t>Units Acquired</t>
  </si>
  <si>
    <t>*</t>
  </si>
  <si>
    <t>**</t>
  </si>
  <si>
    <t>***</t>
  </si>
  <si>
    <t>+</t>
  </si>
  <si>
    <t>***Be aware of the difference between a .25 credit lab and a .50 credit lab</t>
  </si>
  <si>
    <t xml:space="preserve"> ++ </t>
  </si>
  <si>
    <t xml:space="preserve"> +++</t>
  </si>
  <si>
    <t>Units Remaining</t>
  </si>
  <si>
    <t xml:space="preserve"> +++ Select from the list of BIOL courses that will count towards your first year requirements in the orange boxes. </t>
  </si>
  <si>
    <t>Subject</t>
  </si>
  <si>
    <t>A green cell means that you have met that particular requirement</t>
  </si>
  <si>
    <t>Degree Requirement</t>
  </si>
  <si>
    <t>Science Units</t>
  </si>
  <si>
    <t>200-level or higher</t>
  </si>
  <si>
    <t>300-level or higher</t>
  </si>
  <si>
    <t>English Proficiency</t>
  </si>
  <si>
    <r>
      <t xml:space="preserve">**Enter the course </t>
    </r>
    <r>
      <rPr>
        <b/>
        <i/>
        <sz val="11"/>
        <color theme="1"/>
        <rFont val="Calibri"/>
        <family val="2"/>
        <scheme val="minor"/>
      </rPr>
      <t>number</t>
    </r>
    <r>
      <rPr>
        <b/>
        <sz val="11"/>
        <color theme="1"/>
        <rFont val="Calibri"/>
        <family val="2"/>
        <scheme val="minor"/>
      </rPr>
      <t xml:space="preserve"> only. i.e. Biol 140L, only enter 140. If you have a transfer credit (i.e. 3XX) enter a zero instead of X (i.e. 300)</t>
    </r>
  </si>
  <si>
    <t>IF(SUM(Course_Weight)=0,0,IF(OR(MajorPlan="Honours Science",MajorPlan="General Science"),SUMIF(Faculty,"SCI",Grade_Points)/SUMIF(Faculty,"SCI",Course_Weight),IF(MajorPlan="Biology",SUMIF(Department,"BIOL",Grade_Points)/SUMIF(Department,"BIOL",Course_Weight),IF(MajorPlan="Chemistry",SUMIF(Department,"CHEM",Grade_Points)/SUMIF(Department,"CHEM",Course_Weight),IF(MajorPlan="Earth Sciences",SUMIF(Department,"EARTH",Grade_Points)/SUMIF(Department,"EARTH",Course_Weight),IF(MajorPlan="Physics",SUMIF(Department,"PHYS",Grade_Points)/SUMIF(Department,"PHYS",Course_Weight)))))))</t>
  </si>
  <si>
    <t>Major Plan Average code:</t>
  </si>
  <si>
    <t>ENS</t>
  </si>
  <si>
    <t>STU</t>
  </si>
  <si>
    <t>Yes</t>
  </si>
  <si>
    <t>PRJ</t>
  </si>
  <si>
    <t>SOC</t>
  </si>
  <si>
    <t>Date Completed:</t>
  </si>
  <si>
    <t>Date Filed:</t>
  </si>
  <si>
    <t>Name:</t>
  </si>
  <si>
    <t>Student ID:</t>
  </si>
  <si>
    <t>HONOURS SCIENCE DEGREE CHECK</t>
  </si>
  <si>
    <t>Checked by Advisor:</t>
  </si>
  <si>
    <t>A red cell means you have not completed that particular requirement</t>
  </si>
  <si>
    <t>Science English Language Proficiency Requirement</t>
  </si>
  <si>
    <t>Notes</t>
  </si>
  <si>
    <t xml:space="preserve"> ++ No input is required in the 'Weight' and 'Grade Points' columns</t>
  </si>
  <si>
    <t>Count Constants</t>
  </si>
  <si>
    <t>TotalMin</t>
  </si>
  <si>
    <t>LECMin</t>
  </si>
  <si>
    <t>ScienceMin</t>
  </si>
  <si>
    <t>TwoHunMin</t>
  </si>
  <si>
    <t>ThreeHunMin</t>
  </si>
  <si>
    <t>LabsMax</t>
  </si>
  <si>
    <t>MathMin</t>
  </si>
  <si>
    <t xml:space="preserve"> + Enter all marks as they appear on Quest, including WD, WF, DNW, INC, FTC, IP</t>
  </si>
  <si>
    <t xml:space="preserve"> + Transfer credits (or prospective courses) have a Mark of 'CR', which will grant the credit but have no impact on the Averages</t>
  </si>
  <si>
    <t>MarkMin</t>
  </si>
  <si>
    <t>SCIDept</t>
  </si>
  <si>
    <t>MISCDept</t>
  </si>
  <si>
    <t>SCBUS</t>
  </si>
  <si>
    <t>MISC</t>
  </si>
  <si>
    <t>STV</t>
  </si>
  <si>
    <t>Lab Units</t>
  </si>
  <si>
    <t>FailMax</t>
  </si>
  <si>
    <t>SCIMax</t>
  </si>
  <si>
    <t>OverallAvg</t>
  </si>
  <si>
    <t>SciAvg</t>
  </si>
  <si>
    <t>FYLabWeight</t>
  </si>
  <si>
    <t>LabCount300</t>
  </si>
  <si>
    <t>OverallAvgCalc</t>
  </si>
  <si>
    <t>SciAvgCalc</t>
  </si>
  <si>
    <t>LabCountAll</t>
  </si>
  <si>
    <t>CountAll</t>
  </si>
  <si>
    <t>SciCountAll</t>
  </si>
  <si>
    <t>MathCountAll</t>
  </si>
  <si>
    <t>CountFail</t>
  </si>
  <si>
    <t>CountSCILabel</t>
  </si>
  <si>
    <t>MathCountNotAllowed</t>
  </si>
  <si>
    <t>FYBIOL1Labs</t>
  </si>
  <si>
    <t>FYBIOL2Labs</t>
  </si>
  <si>
    <t>SciCount200</t>
  </si>
  <si>
    <t>BIOLCount100</t>
  </si>
  <si>
    <t>SciCountNotAllowed</t>
  </si>
  <si>
    <t>SciGPANot Allowed</t>
  </si>
  <si>
    <t>UNIV</t>
  </si>
  <si>
    <t>MNS</t>
  </si>
  <si>
    <t>BET</t>
  </si>
  <si>
    <t>EarthAvgCalc</t>
  </si>
  <si>
    <t>BiolAvgCalc</t>
  </si>
  <si>
    <t>ChemAvgCalc</t>
  </si>
  <si>
    <t>PhysAvgCalc</t>
  </si>
  <si>
    <t>AllDept</t>
  </si>
  <si>
    <t>LabCounter200</t>
  </si>
  <si>
    <t>LabCount200</t>
  </si>
  <si>
    <t>LabCount100Biol</t>
  </si>
  <si>
    <t>SciCount300</t>
  </si>
  <si>
    <t>RemainingLabs200</t>
  </si>
  <si>
    <t>RemainingLabs300</t>
  </si>
  <si>
    <t>BUS</t>
  </si>
  <si>
    <t>This is an unofficial Degree Check intended  to give students a better idea of their progress in the Honours Science program. Speak with an advisor to determine accurate progress.</t>
  </si>
  <si>
    <t>Note: A maximum of 10.5 units of Internal OR External Transfer Credits can be Applied to the Honours Science degree</t>
  </si>
  <si>
    <t>Biol Exclusion Remover</t>
  </si>
  <si>
    <t xml:space="preserve">Added functionality to remove Biol 101 and Biol 112 from 2nd year Science count, and cannot be used as a First-Year requirement. </t>
  </si>
  <si>
    <t>Added conditional formatting to highlight when a "subject" cell results in an error, for example, having a space at the end. Note that conditional formatting is not available in all versions of excel, therefore Degree Checks being returned may not maintin this feature.</t>
  </si>
  <si>
    <t>Version</t>
  </si>
  <si>
    <t>Added conditional formatting to highlight when a "Type" cell is input as a number. Note that conditional formatting is not available in all versions of excel, therefore Degree Checks being returned may not maintin this feature.</t>
  </si>
  <si>
    <t>2.5a</t>
  </si>
  <si>
    <t>cs 100 removed as counting towards math requirement</t>
  </si>
  <si>
    <t>Using 2018-</t>
  </si>
  <si>
    <t>NSLAB.25</t>
  </si>
  <si>
    <t>NSLAB.50</t>
  </si>
  <si>
    <t>SCCOM</t>
  </si>
  <si>
    <t>added NS labs to help with lecture count</t>
  </si>
  <si>
    <t>did not fix hyper link to communication</t>
  </si>
  <si>
    <t>ASL</t>
  </si>
  <si>
    <t>GSJ</t>
  </si>
  <si>
    <t>added missing subjects</t>
  </si>
  <si>
    <t>restricted that number field can only have numbers</t>
  </si>
  <si>
    <t>EMLS</t>
  </si>
  <si>
    <t>***Be aware of the difference between a .25 credit lab and a .50 credit lab; NS Lab - is for non-Science Lab i.e. KIN 100L</t>
  </si>
  <si>
    <t>SDS</t>
  </si>
  <si>
    <t>ARBUS</t>
  </si>
  <si>
    <t>BLKST</t>
  </si>
  <si>
    <t>CDNST</t>
  </si>
  <si>
    <t>CI</t>
  </si>
  <si>
    <t>HRTS</t>
  </si>
  <si>
    <t>INDENT</t>
  </si>
  <si>
    <t>INDG</t>
  </si>
  <si>
    <t>MGMT</t>
  </si>
  <si>
    <t>MENN</t>
  </si>
  <si>
    <t>MOHAWK</t>
  </si>
  <si>
    <t>AE</t>
  </si>
  <si>
    <t>added new course codes</t>
  </si>
  <si>
    <t>CFM</t>
  </si>
  <si>
    <t>BME</t>
  </si>
  <si>
    <t>SFM</t>
  </si>
  <si>
    <t>GBDA</t>
  </si>
  <si>
    <t>HEALTH</t>
  </si>
  <si>
    <t>AHS to HEALTH and HEALTH course code added, BIOL FY courses adjusted</t>
  </si>
  <si>
    <t>HEALTHDept</t>
  </si>
  <si>
    <t>COMMST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</si>
</sst>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4" tint="0.499984740745262"/>
      </bottom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auto="1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 style="thin">
        <color auto="1"/>
      </right>
      <top/>
      <bottom/>
      <diagonal/>
    </border>
  </borders>
  <cellStyleXfs count="11">
    <xf numFmtId="0" fontId="0" fillId="0" borderId="0"/>
    <xf numFmtId="0" fontId="3" fillId="2" borderId="1" applyNumberFormat="0" applyAlignment="0" applyProtection="0"/>
    <xf numFmtId="0" fontId="2" fillId="3" borderId="2" applyNumberFormat="0" applyFont="0" applyAlignment="0" applyProtection="0"/>
    <xf numFmtId="0" fontId="4" fillId="4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11" fillId="9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0" fillId="0" borderId="0" xfId="0" applyProtection="1">
      <protection locked="0"/>
    </xf>
    <xf numFmtId="0" fontId="6" fillId="0" borderId="4" xfId="5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3" fillId="2" borderId="1" xfId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4" xfId="5" applyAlignment="1" applyProtection="1">
      <alignment horizontal="center"/>
    </xf>
    <xf numFmtId="0" fontId="5" fillId="7" borderId="9" xfId="4" applyFill="1" applyBorder="1" applyAlignment="1" applyProtection="1">
      <alignment horizontal="center"/>
      <protection locked="0"/>
    </xf>
    <xf numFmtId="0" fontId="0" fillId="7" borderId="0" xfId="0" applyFill="1" applyProtection="1">
      <protection locked="0"/>
    </xf>
    <xf numFmtId="0" fontId="0" fillId="7" borderId="0" xfId="0" applyFill="1"/>
    <xf numFmtId="2" fontId="4" fillId="4" borderId="0" xfId="3" applyNumberFormat="1" applyAlignment="1" applyProtection="1">
      <alignment horizontal="center"/>
    </xf>
    <xf numFmtId="0" fontId="1" fillId="0" borderId="0" xfId="0" applyFont="1" applyProtection="1">
      <protection locked="0"/>
    </xf>
    <xf numFmtId="0" fontId="5" fillId="8" borderId="3" xfId="4" applyFill="1" applyAlignment="1" applyProtection="1">
      <alignment horizontal="center"/>
      <protection locked="0"/>
    </xf>
    <xf numFmtId="0" fontId="0" fillId="7" borderId="7" xfId="0" applyFill="1" applyBorder="1" applyAlignment="1" applyProtection="1">
      <alignment horizontal="center"/>
      <protection locked="0"/>
    </xf>
    <xf numFmtId="0" fontId="0" fillId="8" borderId="7" xfId="0" applyFill="1" applyBorder="1" applyAlignment="1">
      <alignment horizontal="center"/>
    </xf>
    <xf numFmtId="0" fontId="5" fillId="8" borderId="9" xfId="4" applyFill="1" applyBorder="1" applyAlignment="1" applyProtection="1">
      <alignment horizontal="center"/>
    </xf>
    <xf numFmtId="0" fontId="0" fillId="8" borderId="5" xfId="0" applyFill="1" applyBorder="1" applyAlignment="1">
      <alignment horizontal="center"/>
    </xf>
    <xf numFmtId="0" fontId="0" fillId="8" borderId="0" xfId="0" applyFill="1"/>
    <xf numFmtId="0" fontId="0" fillId="7" borderId="13" xfId="0" applyFill="1" applyBorder="1" applyAlignment="1">
      <alignment horizontal="center"/>
    </xf>
    <xf numFmtId="0" fontId="5" fillId="7" borderId="14" xfId="4" applyFill="1" applyBorder="1" applyAlignment="1" applyProtection="1">
      <alignment horizontal="center"/>
    </xf>
    <xf numFmtId="0" fontId="0" fillId="7" borderId="15" xfId="0" applyFill="1" applyBorder="1" applyAlignment="1">
      <alignment horizontal="center"/>
    </xf>
    <xf numFmtId="0" fontId="12" fillId="8" borderId="5" xfId="9" applyFill="1" applyBorder="1" applyProtection="1">
      <protection locked="0"/>
    </xf>
    <xf numFmtId="15" fontId="0" fillId="0" borderId="0" xfId="0" applyNumberFormat="1" applyProtection="1">
      <protection locked="0"/>
    </xf>
    <xf numFmtId="0" fontId="0" fillId="7" borderId="5" xfId="0" applyFill="1" applyBorder="1"/>
    <xf numFmtId="1" fontId="4" fillId="4" borderId="0" xfId="3" applyNumberFormat="1" applyAlignment="1" applyProtection="1">
      <alignment horizontal="center"/>
    </xf>
    <xf numFmtId="0" fontId="3" fillId="2" borderId="1" xfId="1" applyAlignment="1" applyProtection="1">
      <alignment horizontal="center"/>
    </xf>
    <xf numFmtId="0" fontId="0" fillId="8" borderId="5" xfId="0" applyFill="1" applyBorder="1"/>
    <xf numFmtId="0" fontId="0" fillId="0" borderId="0" xfId="0" applyAlignment="1" applyProtection="1">
      <alignment horizontal="left"/>
      <protection locked="0"/>
    </xf>
    <xf numFmtId="0" fontId="0" fillId="0" borderId="25" xfId="0" applyBorder="1" applyProtection="1">
      <protection locked="0"/>
    </xf>
    <xf numFmtId="0" fontId="0" fillId="0" borderId="0" xfId="0" applyAlignment="1">
      <alignment wrapText="1"/>
    </xf>
    <xf numFmtId="0" fontId="0" fillId="8" borderId="5" xfId="0" applyFill="1" applyBorder="1" applyAlignment="1" applyProtection="1">
      <alignment horizontal="left"/>
      <protection locked="0"/>
    </xf>
    <xf numFmtId="0" fontId="5" fillId="8" borderId="3" xfId="4" applyFill="1" applyAlignment="1" applyProtection="1">
      <alignment horizontal="left"/>
      <protection locked="0"/>
    </xf>
    <xf numFmtId="0" fontId="5" fillId="7" borderId="9" xfId="4" applyFill="1" applyBorder="1" applyAlignment="1" applyProtection="1">
      <alignment horizontal="right"/>
      <protection locked="0"/>
    </xf>
    <xf numFmtId="0" fontId="0" fillId="7" borderId="6" xfId="0" applyFill="1" applyBorder="1" applyAlignment="1" applyProtection="1">
      <alignment horizontal="right"/>
      <protection locked="0"/>
    </xf>
    <xf numFmtId="0" fontId="0" fillId="7" borderId="0" xfId="0" applyFill="1" applyAlignment="1" applyProtection="1">
      <alignment horizontal="right"/>
      <protection locked="0"/>
    </xf>
    <xf numFmtId="0" fontId="0" fillId="8" borderId="5" xfId="0" applyFill="1" applyBorder="1" applyProtection="1">
      <protection locked="0"/>
    </xf>
    <xf numFmtId="0" fontId="5" fillId="8" borderId="3" xfId="4" applyFill="1" applyAlignment="1" applyProtection="1">
      <protection locked="0"/>
    </xf>
    <xf numFmtId="0" fontId="0" fillId="7" borderId="5" xfId="0" applyFill="1" applyBorder="1" applyAlignment="1" applyProtection="1">
      <alignment horizontal="right"/>
      <protection locked="0"/>
    </xf>
    <xf numFmtId="0" fontId="0" fillId="7" borderId="6" xfId="0" applyFill="1" applyBorder="1" applyAlignment="1" applyProtection="1">
      <alignment horizontal="right" vertical="center"/>
      <protection locked="0"/>
    </xf>
    <xf numFmtId="0" fontId="0" fillId="7" borderId="7" xfId="0" applyFill="1" applyBorder="1" applyProtection="1">
      <protection locked="0"/>
    </xf>
    <xf numFmtId="0" fontId="12" fillId="8" borderId="5" xfId="9" applyFill="1" applyBorder="1" applyAlignment="1" applyProtection="1">
      <protection locked="0"/>
    </xf>
    <xf numFmtId="0" fontId="0" fillId="3" borderId="2" xfId="2" applyFont="1" applyAlignment="1" applyProtection="1">
      <alignment horizontal="left" vertical="top" wrapText="1"/>
      <protection locked="0"/>
    </xf>
    <xf numFmtId="0" fontId="1" fillId="3" borderId="11" xfId="2" applyFont="1" applyBorder="1" applyAlignment="1" applyProtection="1">
      <alignment horizontal="left" vertical="center" wrapText="1"/>
    </xf>
    <xf numFmtId="0" fontId="1" fillId="3" borderId="8" xfId="2" applyFont="1" applyBorder="1" applyAlignment="1" applyProtection="1">
      <alignment horizontal="left" vertical="center" wrapText="1"/>
    </xf>
    <xf numFmtId="0" fontId="1" fillId="3" borderId="12" xfId="2" applyFont="1" applyBorder="1" applyAlignment="1" applyProtection="1">
      <alignment horizontal="left" vertical="center" wrapText="1"/>
    </xf>
    <xf numFmtId="0" fontId="8" fillId="6" borderId="0" xfId="7" applyAlignment="1" applyProtection="1">
      <alignment horizontal="left"/>
    </xf>
    <xf numFmtId="0" fontId="7" fillId="5" borderId="0" xfId="6" applyAlignment="1" applyProtection="1">
      <alignment horizontal="left" vertical="center"/>
    </xf>
    <xf numFmtId="0" fontId="13" fillId="3" borderId="11" xfId="10" applyFill="1" applyBorder="1" applyAlignment="1" applyProtection="1">
      <alignment horizontal="left"/>
      <protection locked="0"/>
    </xf>
    <xf numFmtId="0" fontId="13" fillId="3" borderId="8" xfId="10" applyFill="1" applyBorder="1" applyAlignment="1" applyProtection="1">
      <alignment horizontal="left"/>
      <protection locked="0"/>
    </xf>
    <xf numFmtId="0" fontId="11" fillId="9" borderId="17" xfId="8" applyBorder="1" applyAlignment="1" applyProtection="1">
      <alignment horizontal="center" vertical="center" wrapText="1"/>
    </xf>
    <xf numFmtId="0" fontId="11" fillId="9" borderId="0" xfId="8" applyBorder="1" applyAlignment="1" applyProtection="1">
      <alignment horizontal="center" vertical="center" wrapText="1"/>
    </xf>
    <xf numFmtId="0" fontId="10" fillId="9" borderId="10" xfId="8" applyFont="1" applyBorder="1" applyAlignment="1" applyProtection="1">
      <protection locked="0"/>
    </xf>
    <xf numFmtId="0" fontId="0" fillId="0" borderId="10" xfId="0" applyBorder="1"/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3" borderId="11" xfId="2" applyFont="1" applyBorder="1" applyAlignment="1" applyProtection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3" borderId="16" xfId="2" applyFont="1" applyBorder="1" applyAlignment="1" applyProtection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" fillId="3" borderId="11" xfId="2" applyFont="1" applyBorder="1" applyAlignment="1" applyProtection="1">
      <alignment horizontal="left" vertical="center"/>
    </xf>
    <xf numFmtId="0" fontId="1" fillId="3" borderId="8" xfId="2" applyFont="1" applyBorder="1" applyAlignment="1" applyProtection="1">
      <alignment horizontal="left" vertical="center"/>
    </xf>
    <xf numFmtId="0" fontId="1" fillId="3" borderId="12" xfId="2" applyFont="1" applyBorder="1" applyAlignment="1" applyProtection="1">
      <alignment horizontal="left" vertical="center"/>
    </xf>
    <xf numFmtId="0" fontId="1" fillId="3" borderId="21" xfId="2" applyFont="1" applyBorder="1" applyAlignment="1" applyProtection="1">
      <alignment vertical="center" wrapText="1"/>
    </xf>
    <xf numFmtId="0" fontId="1" fillId="3" borderId="17" xfId="2" applyFont="1" applyBorder="1" applyAlignment="1" applyProtection="1">
      <alignment vertical="center" wrapText="1"/>
    </xf>
    <xf numFmtId="0" fontId="1" fillId="3" borderId="18" xfId="2" applyFont="1" applyBorder="1" applyAlignment="1" applyProtection="1">
      <alignment vertical="center" wrapText="1"/>
    </xf>
    <xf numFmtId="0" fontId="1" fillId="3" borderId="24" xfId="2" applyFont="1" applyBorder="1" applyAlignment="1" applyProtection="1">
      <alignment vertical="center" wrapText="1"/>
    </xf>
    <xf numFmtId="0" fontId="1" fillId="3" borderId="10" xfId="2" applyFont="1" applyBorder="1" applyAlignment="1" applyProtection="1">
      <alignment vertical="center" wrapText="1"/>
    </xf>
    <xf numFmtId="0" fontId="1" fillId="3" borderId="20" xfId="2" applyFont="1" applyBorder="1" applyAlignment="1" applyProtection="1">
      <alignment vertical="center" wrapText="1"/>
    </xf>
    <xf numFmtId="0" fontId="0" fillId="3" borderId="21" xfId="2" applyFont="1" applyBorder="1" applyAlignment="1">
      <alignment horizontal="left" vertical="top" wrapText="1"/>
    </xf>
    <xf numFmtId="0" fontId="0" fillId="3" borderId="17" xfId="2" applyFont="1" applyBorder="1" applyAlignment="1">
      <alignment horizontal="left" vertical="top" wrapText="1"/>
    </xf>
    <xf numFmtId="0" fontId="0" fillId="3" borderId="18" xfId="2" applyFont="1" applyBorder="1" applyAlignment="1">
      <alignment horizontal="left" vertical="top" wrapText="1"/>
    </xf>
    <xf numFmtId="0" fontId="0" fillId="3" borderId="22" xfId="2" applyFont="1" applyBorder="1" applyAlignment="1">
      <alignment horizontal="left" vertical="top" wrapText="1"/>
    </xf>
    <xf numFmtId="0" fontId="0" fillId="3" borderId="0" xfId="2" applyFont="1" applyBorder="1" applyAlignment="1">
      <alignment horizontal="left" vertical="top" wrapText="1"/>
    </xf>
    <xf numFmtId="0" fontId="0" fillId="3" borderId="23" xfId="2" applyFont="1" applyBorder="1" applyAlignment="1">
      <alignment horizontal="left" vertical="top" wrapText="1"/>
    </xf>
    <xf numFmtId="0" fontId="0" fillId="3" borderId="24" xfId="2" applyFont="1" applyBorder="1" applyAlignment="1">
      <alignment horizontal="left" vertical="top" wrapText="1"/>
    </xf>
    <xf numFmtId="0" fontId="0" fillId="3" borderId="10" xfId="2" applyFont="1" applyBorder="1" applyAlignment="1">
      <alignment horizontal="left" vertical="top" wrapText="1"/>
    </xf>
    <xf numFmtId="0" fontId="0" fillId="3" borderId="20" xfId="2" applyFont="1" applyBorder="1" applyAlignment="1">
      <alignment horizontal="left" vertical="top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1">
    <cellStyle name="Accent1" xfId="8" builtinId="29"/>
    <cellStyle name="Bad" xfId="7" builtinId="27"/>
    <cellStyle name="Explanatory Text" xfId="9" builtinId="53"/>
    <cellStyle name="Good" xfId="6" builtinId="26"/>
    <cellStyle name="Heading 2" xfId="4" builtinId="17"/>
    <cellStyle name="Heading 3" xfId="5" builtinId="18"/>
    <cellStyle name="Hyperlink" xfId="10" builtinId="8"/>
    <cellStyle name="Input" xfId="1" builtinId="20"/>
    <cellStyle name="Neutral" xfId="3" builtinId="28"/>
    <cellStyle name="Normal" xfId="0" builtinId="0"/>
    <cellStyle name="Note" xfId="2" builtinId="10"/>
  </cellStyles>
  <dxfs count="91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theme="9" tint="-0.499984740745262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theme="9" tint="-0.499984740745262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ugradcalendar.uwaterloo.ca/page/SCI-Communication-Require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P100"/>
  <sheetViews>
    <sheetView tabSelected="1" topLeftCell="B12" workbookViewId="0">
      <selection activeCell="Q21" sqref="Q21"/>
    </sheetView>
  </sheetViews>
  <sheetFormatPr defaultColWidth="8.88671875" defaultRowHeight="14.4" x14ac:dyDescent="0.3"/>
  <cols>
    <col min="1" max="1" width="4.44140625" style="10" hidden="1" customWidth="1"/>
    <col min="2" max="2" width="8.6640625" style="29" bestFit="1" customWidth="1"/>
    <col min="3" max="3" width="9.44140625" style="36" bestFit="1" customWidth="1"/>
    <col min="4" max="4" width="6.109375" style="1" bestFit="1" customWidth="1"/>
    <col min="5" max="5" width="6.44140625" style="36" bestFit="1" customWidth="1"/>
    <col min="6" max="6" width="9.109375" style="23" customWidth="1"/>
    <col min="7" max="7" width="8.44140625" style="19" hidden="1" customWidth="1"/>
    <col min="8" max="8" width="14.44140625" style="11" hidden="1" customWidth="1"/>
    <col min="9" max="9" width="22.109375" style="1" customWidth="1"/>
    <col min="10" max="10" width="18.44140625" style="1" customWidth="1"/>
    <col min="11" max="11" width="19.44140625" style="1" customWidth="1"/>
    <col min="12" max="12" width="9.33203125" style="1" bestFit="1" customWidth="1"/>
    <col min="13" max="13" width="8.88671875" style="1"/>
    <col min="14" max="14" width="10.6640625" style="1" customWidth="1"/>
    <col min="15" max="15" width="12.44140625" style="1" customWidth="1"/>
    <col min="16" max="16" width="8.88671875" style="1"/>
    <col min="17" max="17" width="14.109375" style="1" customWidth="1"/>
    <col min="18" max="16384" width="8.88671875" style="1"/>
  </cols>
  <sheetData>
    <row r="1" spans="1:16" x14ac:dyDescent="0.3">
      <c r="A1" s="15"/>
      <c r="B1" s="37" t="s">
        <v>130</v>
      </c>
      <c r="C1" s="41" t="s">
        <v>131</v>
      </c>
      <c r="D1" s="37" t="s">
        <v>132</v>
      </c>
      <c r="E1" s="41" t="s">
        <v>133</v>
      </c>
      <c r="F1" s="42"/>
      <c r="G1" s="16" t="s">
        <v>135</v>
      </c>
      <c r="H1" s="20" t="s">
        <v>135</v>
      </c>
      <c r="I1" s="53" t="s">
        <v>158</v>
      </c>
      <c r="J1" s="54"/>
      <c r="K1" s="54"/>
    </row>
    <row r="2" spans="1:16" ht="18" thickBot="1" x14ac:dyDescent="0.4">
      <c r="A2" s="9" t="s">
        <v>31</v>
      </c>
      <c r="B2" s="33" t="s">
        <v>139</v>
      </c>
      <c r="C2" s="34" t="s">
        <v>0</v>
      </c>
      <c r="D2" s="38" t="s">
        <v>1</v>
      </c>
      <c r="E2" s="34" t="s">
        <v>2</v>
      </c>
      <c r="F2" s="21" t="s">
        <v>162</v>
      </c>
      <c r="G2" s="17" t="s">
        <v>13</v>
      </c>
      <c r="H2" s="21" t="s">
        <v>15</v>
      </c>
      <c r="I2" s="71" t="s">
        <v>217</v>
      </c>
      <c r="J2" s="72"/>
      <c r="K2" s="72"/>
      <c r="L2" s="72"/>
      <c r="M2" s="72"/>
      <c r="N2" s="73"/>
    </row>
    <row r="3" spans="1:16" ht="15" thickTop="1" x14ac:dyDescent="0.3">
      <c r="A3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3" s="32"/>
      <c r="C3" s="35"/>
      <c r="D3" s="37"/>
      <c r="G3" s="18" t="str">
        <f t="shared" ref="G3:G34" si="0">IF(ISBLANK(Course_Type)," ",IF(OR(Course_Type="LEC",Course_Type="LAB.50",Course_Type="NSLAB.50", Course_Type="STU",Course_Type="PRJ"),0.5,IF(OR(Course_Type="LAB.25",Course_Type="NSLAB.25",Course_Type="ENS"),0.25,0)))</f>
        <v xml:space="preserve"> </v>
      </c>
      <c r="H3" s="22" t="str">
        <f t="shared" ref="H3:H34" si="1">IF(ISBLANK(Course_Mark)," ",IF(OR(Course_Mark="WD",Course_Mark="CR",Course_Mark="INC",Course_Mark="IP",Course_Mark="UR"),0,IF(OR(Course_Mark="WF",Course_Mark="FTC",Course_Mark="DNW",Course_Mark="NMR",AND(Course_Mark&gt;=0,Course_Mark&lt;=MarkMin)),Course_Weight*MarkMin, Course_Weight*Course_Mark)))</f>
        <v xml:space="preserve"> </v>
      </c>
      <c r="I3" s="74"/>
      <c r="J3" s="75"/>
      <c r="K3" s="75"/>
      <c r="L3" s="75"/>
      <c r="M3" s="75"/>
      <c r="N3" s="76"/>
    </row>
    <row r="4" spans="1:16" x14ac:dyDescent="0.3">
      <c r="A4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4" s="32"/>
      <c r="C4" s="35"/>
      <c r="D4" s="37"/>
      <c r="E4" s="35"/>
      <c r="G4" s="18" t="str">
        <f t="shared" si="0"/>
        <v xml:space="preserve"> </v>
      </c>
      <c r="H4" s="22" t="str">
        <f t="shared" si="1"/>
        <v xml:space="preserve"> </v>
      </c>
      <c r="I4" s="44" t="s">
        <v>146</v>
      </c>
      <c r="J4" s="45"/>
      <c r="K4" s="45"/>
      <c r="L4" s="45"/>
      <c r="M4" s="45"/>
      <c r="N4" s="46"/>
    </row>
    <row r="5" spans="1:16" x14ac:dyDescent="0.3">
      <c r="A5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5" s="32"/>
      <c r="C5" s="35"/>
      <c r="D5" s="37"/>
      <c r="E5" s="35"/>
      <c r="G5" s="18" t="str">
        <f t="shared" si="0"/>
        <v xml:space="preserve"> </v>
      </c>
      <c r="H5" s="22" t="str">
        <f t="shared" si="1"/>
        <v xml:space="preserve"> </v>
      </c>
      <c r="I5" s="55"/>
      <c r="J5" s="56"/>
      <c r="K5" s="56"/>
      <c r="L5" s="56"/>
      <c r="M5" s="56"/>
      <c r="N5" s="57"/>
    </row>
    <row r="6" spans="1:16" x14ac:dyDescent="0.3">
      <c r="A6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6" s="32"/>
      <c r="C6" s="35"/>
      <c r="D6" s="37"/>
      <c r="E6" s="35"/>
      <c r="G6" s="18" t="str">
        <f t="shared" si="0"/>
        <v xml:space="preserve"> </v>
      </c>
      <c r="H6" s="22" t="str">
        <f t="shared" si="1"/>
        <v xml:space="preserve"> </v>
      </c>
      <c r="I6" s="58" t="s">
        <v>237</v>
      </c>
      <c r="J6" s="59"/>
      <c r="K6" s="59"/>
      <c r="L6" s="59"/>
      <c r="M6" s="59"/>
      <c r="N6" s="60"/>
    </row>
    <row r="7" spans="1:16" x14ac:dyDescent="0.3">
      <c r="A7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7" s="32"/>
      <c r="C7" s="35"/>
      <c r="D7" s="37"/>
      <c r="E7" s="35"/>
      <c r="G7" s="18" t="str">
        <f t="shared" si="0"/>
        <v xml:space="preserve"> </v>
      </c>
      <c r="H7" s="22" t="str">
        <f t="shared" si="1"/>
        <v xml:space="preserve"> </v>
      </c>
      <c r="I7" s="61"/>
      <c r="J7" s="59"/>
      <c r="K7" s="59"/>
      <c r="L7" s="59"/>
      <c r="M7" s="59"/>
      <c r="N7" s="60"/>
    </row>
    <row r="8" spans="1:16" x14ac:dyDescent="0.3">
      <c r="A8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8" s="32"/>
      <c r="C8" s="35"/>
      <c r="D8" s="37"/>
      <c r="E8" s="35"/>
      <c r="G8" s="18" t="str">
        <f t="shared" si="0"/>
        <v xml:space="preserve"> </v>
      </c>
      <c r="H8" s="22" t="str">
        <f t="shared" si="1"/>
        <v xml:space="preserve"> </v>
      </c>
      <c r="I8" s="62" t="s">
        <v>172</v>
      </c>
      <c r="J8" s="63"/>
      <c r="K8" s="63"/>
      <c r="L8" s="63"/>
      <c r="M8" s="63"/>
      <c r="N8" s="64"/>
    </row>
    <row r="9" spans="1:16" x14ac:dyDescent="0.3">
      <c r="A9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9" s="32"/>
      <c r="C9" s="35"/>
      <c r="D9" s="37"/>
      <c r="E9" s="35"/>
      <c r="G9" s="18" t="str">
        <f t="shared" si="0"/>
        <v xml:space="preserve"> </v>
      </c>
      <c r="H9" s="22" t="str">
        <f t="shared" si="1"/>
        <v xml:space="preserve"> </v>
      </c>
      <c r="I9" s="65"/>
      <c r="J9" s="66"/>
      <c r="K9" s="66"/>
      <c r="L9" s="66"/>
      <c r="M9" s="66"/>
      <c r="N9" s="67"/>
    </row>
    <row r="10" spans="1:16" x14ac:dyDescent="0.3">
      <c r="A10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10" s="32"/>
      <c r="C10" s="35"/>
      <c r="D10" s="37"/>
      <c r="E10" s="35"/>
      <c r="G10" s="18" t="str">
        <f t="shared" si="0"/>
        <v xml:space="preserve"> </v>
      </c>
      <c r="H10" s="22" t="str">
        <f t="shared" si="1"/>
        <v xml:space="preserve"> </v>
      </c>
      <c r="I10" s="44" t="s">
        <v>173</v>
      </c>
      <c r="J10" s="45"/>
      <c r="K10" s="45"/>
      <c r="L10" s="45"/>
      <c r="M10" s="45"/>
      <c r="N10" s="46"/>
    </row>
    <row r="11" spans="1:16" x14ac:dyDescent="0.3">
      <c r="A11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11" s="32"/>
      <c r="C11" s="35"/>
      <c r="D11" s="37"/>
      <c r="E11" s="35"/>
      <c r="G11" s="18" t="str">
        <f t="shared" si="0"/>
        <v xml:space="preserve"> </v>
      </c>
      <c r="H11" s="22" t="str">
        <f t="shared" si="1"/>
        <v xml:space="preserve"> </v>
      </c>
      <c r="I11" s="44"/>
      <c r="J11" s="45"/>
      <c r="K11" s="45"/>
      <c r="L11" s="45"/>
      <c r="M11" s="45"/>
      <c r="N11" s="46"/>
    </row>
    <row r="12" spans="1:16" x14ac:dyDescent="0.3">
      <c r="A12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12" s="32"/>
      <c r="C12" s="35"/>
      <c r="D12" s="37"/>
      <c r="E12" s="35"/>
      <c r="G12" s="18" t="str">
        <f t="shared" si="0"/>
        <v xml:space="preserve"> </v>
      </c>
      <c r="H12" s="22" t="str">
        <f t="shared" si="1"/>
        <v xml:space="preserve"> </v>
      </c>
      <c r="I12" s="68" t="s">
        <v>163</v>
      </c>
      <c r="J12" s="69"/>
      <c r="K12" s="69"/>
      <c r="L12" s="69"/>
      <c r="M12" s="69"/>
      <c r="N12" s="70"/>
    </row>
    <row r="13" spans="1:16" x14ac:dyDescent="0.3">
      <c r="A13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13" s="32"/>
      <c r="C13" s="35"/>
      <c r="D13" s="37"/>
      <c r="E13" s="35"/>
      <c r="G13" s="18" t="str">
        <f t="shared" si="0"/>
        <v xml:space="preserve"> </v>
      </c>
      <c r="H13" s="22" t="str">
        <f t="shared" si="1"/>
        <v xml:space="preserve"> </v>
      </c>
      <c r="I13" s="68"/>
      <c r="J13" s="69"/>
      <c r="K13" s="69"/>
      <c r="L13" s="69"/>
      <c r="M13" s="69"/>
      <c r="N13" s="70"/>
    </row>
    <row r="14" spans="1:16" x14ac:dyDescent="0.3">
      <c r="A14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14" s="32"/>
      <c r="C14" s="35"/>
      <c r="D14" s="37"/>
      <c r="E14" s="35"/>
      <c r="G14" s="18" t="str">
        <f t="shared" si="0"/>
        <v xml:space="preserve"> </v>
      </c>
      <c r="H14" s="22" t="str">
        <f t="shared" si="1"/>
        <v xml:space="preserve"> </v>
      </c>
      <c r="I14" s="44" t="s">
        <v>138</v>
      </c>
      <c r="J14" s="45"/>
      <c r="K14" s="45"/>
      <c r="L14" s="45"/>
      <c r="M14" s="45"/>
      <c r="N14" s="46"/>
      <c r="O14"/>
      <c r="P14"/>
    </row>
    <row r="15" spans="1:16" x14ac:dyDescent="0.3">
      <c r="A15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15" s="32"/>
      <c r="C15" s="35"/>
      <c r="D15" s="37"/>
      <c r="E15" s="35"/>
      <c r="G15" s="18" t="str">
        <f t="shared" si="0"/>
        <v xml:space="preserve"> </v>
      </c>
      <c r="H15" s="22" t="str">
        <f t="shared" si="1"/>
        <v xml:space="preserve"> </v>
      </c>
      <c r="I15" s="44"/>
      <c r="J15" s="45"/>
      <c r="K15" s="45"/>
      <c r="L15" s="45"/>
      <c r="M15" s="45"/>
      <c r="N15" s="46"/>
      <c r="O15"/>
      <c r="P15"/>
    </row>
    <row r="16" spans="1:16" x14ac:dyDescent="0.3">
      <c r="A16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16" s="32"/>
      <c r="C16" s="35"/>
      <c r="D16" s="37"/>
      <c r="E16" s="35"/>
      <c r="G16" s="18" t="str">
        <f t="shared" si="0"/>
        <v xml:space="preserve"> </v>
      </c>
      <c r="H16" s="22" t="str">
        <f t="shared" si="1"/>
        <v xml:space="preserve"> </v>
      </c>
      <c r="I16" s="51" t="s">
        <v>218</v>
      </c>
      <c r="J16" s="51"/>
      <c r="K16" s="51"/>
      <c r="L16" s="51"/>
      <c r="M16" s="51"/>
      <c r="N16" s="51"/>
    </row>
    <row r="17" spans="1:16" x14ac:dyDescent="0.3">
      <c r="A17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17" s="32"/>
      <c r="C17" s="35"/>
      <c r="D17" s="37"/>
      <c r="E17" s="35"/>
      <c r="G17" s="18" t="str">
        <f t="shared" si="0"/>
        <v xml:space="preserve"> </v>
      </c>
      <c r="H17" s="22" t="str">
        <f t="shared" si="1"/>
        <v xml:space="preserve"> </v>
      </c>
      <c r="I17" s="52"/>
      <c r="J17" s="52"/>
      <c r="K17" s="52"/>
      <c r="L17" s="52"/>
      <c r="M17" s="52"/>
      <c r="N17" s="52"/>
    </row>
    <row r="18" spans="1:16" x14ac:dyDescent="0.3">
      <c r="A18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18" s="32"/>
      <c r="C18" s="35"/>
      <c r="D18" s="37"/>
      <c r="E18" s="35"/>
      <c r="G18" s="18" t="str">
        <f t="shared" si="0"/>
        <v xml:space="preserve"> </v>
      </c>
      <c r="H18" s="22" t="str">
        <f t="shared" si="1"/>
        <v xml:space="preserve"> </v>
      </c>
      <c r="J18" s="47" t="s">
        <v>160</v>
      </c>
      <c r="K18" s="47"/>
      <c r="L18" s="47"/>
      <c r="M18" s="47"/>
      <c r="N18" s="47"/>
    </row>
    <row r="19" spans="1:16" ht="15" thickBot="1" x14ac:dyDescent="0.35">
      <c r="A19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19" s="32"/>
      <c r="C19" s="35"/>
      <c r="D19" s="37"/>
      <c r="E19" s="35"/>
      <c r="G19" s="18" t="str">
        <f t="shared" si="0"/>
        <v xml:space="preserve"> </v>
      </c>
      <c r="H19" s="22" t="str">
        <f t="shared" si="1"/>
        <v xml:space="preserve"> </v>
      </c>
      <c r="I19" s="8" t="s">
        <v>24</v>
      </c>
      <c r="J19" s="48" t="s">
        <v>140</v>
      </c>
      <c r="K19" s="48"/>
      <c r="L19" s="48"/>
      <c r="M19" s="48"/>
      <c r="N19" s="48"/>
    </row>
    <row r="20" spans="1:16" x14ac:dyDescent="0.3">
      <c r="A20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20" s="32"/>
      <c r="C20" s="35"/>
      <c r="D20" s="37"/>
      <c r="E20" s="35"/>
      <c r="G20" s="18" t="str">
        <f t="shared" si="0"/>
        <v xml:space="preserve"> </v>
      </c>
      <c r="H20" s="22" t="str">
        <f t="shared" si="1"/>
        <v xml:space="preserve"> </v>
      </c>
      <c r="I20" s="7" t="s">
        <v>12</v>
      </c>
      <c r="J20" s="6">
        <f>OverallAvgCalc</f>
        <v>0</v>
      </c>
      <c r="P20"/>
    </row>
    <row r="21" spans="1:16" x14ac:dyDescent="0.3">
      <c r="A21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21" s="32"/>
      <c r="C21" s="35"/>
      <c r="D21" s="37"/>
      <c r="E21" s="35"/>
      <c r="G21" s="18" t="str">
        <f t="shared" si="0"/>
        <v xml:space="preserve"> </v>
      </c>
      <c r="H21" s="22" t="str">
        <f t="shared" si="1"/>
        <v xml:space="preserve"> </v>
      </c>
      <c r="I21" s="7" t="s">
        <v>14</v>
      </c>
      <c r="J21" s="6">
        <f>SciAvgCalc</f>
        <v>0</v>
      </c>
      <c r="P21"/>
    </row>
    <row r="22" spans="1:16" x14ac:dyDescent="0.3">
      <c r="A22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22" s="32"/>
      <c r="C22" s="35"/>
      <c r="D22" s="37"/>
      <c r="E22" s="35"/>
      <c r="G22" s="18" t="str">
        <f t="shared" si="0"/>
        <v xml:space="preserve"> </v>
      </c>
      <c r="H22" s="22" t="str">
        <f t="shared" si="1"/>
        <v xml:space="preserve"> </v>
      </c>
      <c r="I22"/>
    </row>
    <row r="23" spans="1:16" ht="15" thickBot="1" x14ac:dyDescent="0.35">
      <c r="A23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23" s="32"/>
      <c r="C23" s="35"/>
      <c r="D23" s="37"/>
      <c r="E23" s="35"/>
      <c r="G23" s="18" t="str">
        <f t="shared" si="0"/>
        <v xml:space="preserve"> </v>
      </c>
      <c r="H23" s="22" t="str">
        <f t="shared" si="1"/>
        <v xml:space="preserve"> </v>
      </c>
      <c r="I23" s="8" t="s">
        <v>141</v>
      </c>
      <c r="J23" s="2" t="s">
        <v>129</v>
      </c>
      <c r="K23" s="2" t="s">
        <v>137</v>
      </c>
      <c r="L23" s="3"/>
      <c r="M23" s="3"/>
      <c r="N23" s="30"/>
    </row>
    <row r="24" spans="1:16" x14ac:dyDescent="0.3">
      <c r="A24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24" s="32"/>
      <c r="C24" s="35"/>
      <c r="D24" s="37"/>
      <c r="E24" s="35"/>
      <c r="G24" s="18" t="str">
        <f t="shared" si="0"/>
        <v xml:space="preserve"> </v>
      </c>
      <c r="H24" s="22" t="str">
        <f t="shared" si="1"/>
        <v xml:space="preserve"> </v>
      </c>
      <c r="I24" s="7" t="s">
        <v>25</v>
      </c>
      <c r="J24" s="7">
        <f>IF(LabCountAll&lt;LabsMax,CountAll,CountAll-(LabCountAll-LabsMax))</f>
        <v>0</v>
      </c>
      <c r="K24" s="12">
        <f>IF(TotalMin-Total_Units&lt;0,0,TotalMin-Total_Units)</f>
        <v>21</v>
      </c>
      <c r="L24" s="3"/>
      <c r="M24" s="3"/>
    </row>
    <row r="25" spans="1:16" x14ac:dyDescent="0.3">
      <c r="A25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25" s="32"/>
      <c r="C25" s="35"/>
      <c r="D25" s="37"/>
      <c r="E25" s="35"/>
      <c r="G25" s="18" t="str">
        <f t="shared" si="0"/>
        <v xml:space="preserve"> </v>
      </c>
      <c r="H25" s="22" t="str">
        <f t="shared" si="1"/>
        <v xml:space="preserve"> </v>
      </c>
      <c r="I25" s="7" t="s">
        <v>9</v>
      </c>
      <c r="J25" s="7">
        <f>CountAll-LabCountAll</f>
        <v>0</v>
      </c>
      <c r="K25" s="12">
        <f>IF(LECMin-LEC_Units&lt;0,0,LECMin-LEC_Units)</f>
        <v>19</v>
      </c>
      <c r="L25" s="3"/>
      <c r="M25" s="3"/>
    </row>
    <row r="26" spans="1:16" x14ac:dyDescent="0.3">
      <c r="A26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26" s="32"/>
      <c r="C26" s="35"/>
      <c r="D26" s="37"/>
      <c r="E26" s="35"/>
      <c r="G26" s="18" t="str">
        <f t="shared" si="0"/>
        <v xml:space="preserve"> </v>
      </c>
      <c r="H26" s="22" t="str">
        <f t="shared" si="1"/>
        <v xml:space="preserve"> </v>
      </c>
      <c r="I26" s="7" t="s">
        <v>142</v>
      </c>
      <c r="J26" s="7">
        <f>IF(LabCountAll&lt;LabsMax,SciCountAll,SciCountAll-(LabCountAll-LabsMax))</f>
        <v>0</v>
      </c>
      <c r="K26" s="12">
        <f>IF(ScienceMin-SCI_Units&lt;0,0,ScienceMin-SCI_Units)</f>
        <v>12</v>
      </c>
      <c r="L26" s="3"/>
      <c r="M26" s="3"/>
    </row>
    <row r="27" spans="1:16" x14ac:dyDescent="0.3">
      <c r="A27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27" s="32"/>
      <c r="C27" s="35"/>
      <c r="D27" s="37"/>
      <c r="E27" s="35"/>
      <c r="G27" s="18" t="str">
        <f t="shared" si="0"/>
        <v xml:space="preserve"> </v>
      </c>
      <c r="H27" s="22" t="str">
        <f t="shared" si="1"/>
        <v xml:space="preserve"> </v>
      </c>
      <c r="I27" s="7" t="s">
        <v>143</v>
      </c>
      <c r="J27" s="7">
        <f>SciCount200+BIOLLECCount100-IF(Year1Bio?="Biology",1)+RemainingLabs200-BiolExclusionRemover</f>
        <v>0</v>
      </c>
      <c r="K27" s="12">
        <f>IF(TwoHunMin-TwoHun_Units&lt;0,0,TwoHunMin-TwoHun_Units)</f>
        <v>8</v>
      </c>
      <c r="L27" s="3"/>
      <c r="M27" s="3"/>
    </row>
    <row r="28" spans="1:16" x14ac:dyDescent="0.3">
      <c r="A28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28" s="32"/>
      <c r="C28" s="35"/>
      <c r="D28" s="37"/>
      <c r="E28" s="35"/>
      <c r="G28" s="18" t="str">
        <f t="shared" si="0"/>
        <v xml:space="preserve"> </v>
      </c>
      <c r="H28" s="22" t="str">
        <f t="shared" si="1"/>
        <v xml:space="preserve"> </v>
      </c>
      <c r="I28" s="7" t="s">
        <v>144</v>
      </c>
      <c r="J28" s="7">
        <f>SciCount300+RemainingLabs300</f>
        <v>0</v>
      </c>
      <c r="K28" s="12">
        <f>IF(ThreeHunMin-ThreeHun_Units&lt;0,0,ThreeHunMin-ThreeHun_Units)</f>
        <v>4</v>
      </c>
      <c r="L28" s="3"/>
      <c r="M28" s="3"/>
    </row>
    <row r="29" spans="1:16" x14ac:dyDescent="0.3">
      <c r="A29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29" s="32"/>
      <c r="C29" s="35"/>
      <c r="D29" s="37"/>
      <c r="E29" s="35"/>
      <c r="G29" s="18" t="str">
        <f t="shared" si="0"/>
        <v xml:space="preserve"> </v>
      </c>
      <c r="H29" s="22" t="str">
        <f t="shared" si="1"/>
        <v xml:space="preserve"> </v>
      </c>
      <c r="I29" s="7" t="s">
        <v>26</v>
      </c>
      <c r="J29" s="7">
        <f>MathCountAll-MathCountNotAllowed</f>
        <v>0</v>
      </c>
      <c r="K29" s="12">
        <f>IF(MathMin-Math_Units&lt;0,0,MathMin-Math_Units)</f>
        <v>1</v>
      </c>
      <c r="L29" s="3"/>
      <c r="M29" s="3"/>
    </row>
    <row r="30" spans="1:16" x14ac:dyDescent="0.3">
      <c r="A30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30" s="32"/>
      <c r="C30" s="35"/>
      <c r="D30" s="37"/>
      <c r="E30" s="35"/>
      <c r="G30" s="18" t="str">
        <f t="shared" si="0"/>
        <v xml:space="preserve"> </v>
      </c>
      <c r="H30" s="22" t="str">
        <f t="shared" si="1"/>
        <v xml:space="preserve"> </v>
      </c>
      <c r="I30" s="7" t="s">
        <v>180</v>
      </c>
      <c r="J30" s="7">
        <f>LabCountAll</f>
        <v>0</v>
      </c>
      <c r="K30" s="12" t="str">
        <f>CONCATENATE(IF(LabUnits-LabsMax&lt;0,0,LabUnits-LabsMax)," units excluded")</f>
        <v>0 units excluded</v>
      </c>
      <c r="L30" s="3"/>
      <c r="M30" s="3"/>
    </row>
    <row r="31" spans="1:16" x14ac:dyDescent="0.3">
      <c r="A31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31" s="32"/>
      <c r="C31" s="35"/>
      <c r="D31" s="37"/>
      <c r="E31" s="35"/>
      <c r="G31" s="18" t="str">
        <f t="shared" si="0"/>
        <v xml:space="preserve"> </v>
      </c>
      <c r="H31" s="22" t="str">
        <f t="shared" si="1"/>
        <v xml:space="preserve"> </v>
      </c>
      <c r="I31" s="7" t="s">
        <v>27</v>
      </c>
      <c r="J31" s="7">
        <f>CountFail</f>
        <v>0</v>
      </c>
      <c r="K31" s="26" t="str">
        <f>CONCATENATE(IF(FailMax-Failed_Units&lt;0,"0",FailMax-Failed_Units)," failed units allowed")</f>
        <v>5 failed units allowed</v>
      </c>
      <c r="L31" s="3"/>
      <c r="M31" s="3"/>
    </row>
    <row r="32" spans="1:16" x14ac:dyDescent="0.3">
      <c r="A32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32" s="32"/>
      <c r="C32" s="35"/>
      <c r="D32" s="37"/>
      <c r="E32" s="35"/>
      <c r="G32" s="18" t="str">
        <f t="shared" si="0"/>
        <v xml:space="preserve"> </v>
      </c>
      <c r="H32" s="22" t="str">
        <f t="shared" si="1"/>
        <v xml:space="preserve"> </v>
      </c>
      <c r="I32" s="7" t="s">
        <v>28</v>
      </c>
      <c r="J32" s="7">
        <f>CountSCILabel</f>
        <v>0</v>
      </c>
      <c r="K32" s="12" t="str">
        <f>CONCATENATE(IF(SCIMax-SCI_Label&lt;0,"0",SCIMax-SCI_Label)," SCI Units allowed")</f>
        <v>3 SCI Units allowed</v>
      </c>
      <c r="L32" s="3"/>
      <c r="M32" s="3"/>
    </row>
    <row r="33" spans="1:14" x14ac:dyDescent="0.3">
      <c r="A33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33" s="32"/>
      <c r="C33" s="35"/>
      <c r="D33" s="37"/>
      <c r="E33" s="35"/>
      <c r="G33" s="18" t="str">
        <f t="shared" si="0"/>
        <v xml:space="preserve"> </v>
      </c>
      <c r="H33" s="22" t="str">
        <f t="shared" si="1"/>
        <v xml:space="preserve"> </v>
      </c>
      <c r="I33" s="7" t="s">
        <v>145</v>
      </c>
      <c r="J33" s="7" t="str">
        <f>IF(OR(SUMIFS(Course_Weight,Department,"ENGL",Course_Number,193,Course_Type,"LEC",Course_Mark,"&gt;=50")+SUMIFS(Course_Weight,Department,"ENGL",Course_Number,193,Course_Type,"LEC",Course_Mark,"CR")=0.5,SUMIFS(Course_Weight,Department,"SPCOM",Course_Number,193,Course_Type,"LEC",Course_Mark,"&gt;=50")+SUMIFS(Course_Weight,Department,"SPCOM",Course_Number,193,Course_Type,"LEC",Course_Mark,"CR")=0.5, SUMIFS(Course_Weight,Department,"SCCOM",Course_Number,100,Course_Type,"LEC",Course_Mark,"&gt;=50")+SUMIFS(Course_Weight,Department,"SCCOM",Course_Number,100,Course_Type,"LEC",Course_Mark,"CR")=0.5,),"Comm req met","Comm req unmet")</f>
        <v>Comm req unmet</v>
      </c>
      <c r="K33" s="49" t="s">
        <v>161</v>
      </c>
      <c r="L33" s="50"/>
      <c r="M33" s="50"/>
      <c r="N33" s="50"/>
    </row>
    <row r="34" spans="1:14" ht="15" thickBot="1" x14ac:dyDescent="0.35">
      <c r="A34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34" s="32"/>
      <c r="C34" s="35"/>
      <c r="D34" s="37"/>
      <c r="E34" s="35"/>
      <c r="G34" s="18" t="str">
        <f t="shared" si="0"/>
        <v xml:space="preserve"> </v>
      </c>
      <c r="H34" s="22" t="str">
        <f t="shared" si="1"/>
        <v xml:space="preserve"> </v>
      </c>
      <c r="I34" s="7" t="s">
        <v>127</v>
      </c>
      <c r="J34" s="8" t="str">
        <f>IF(AND(SUMIFS(Course_Weight,Department,"CHEM",Course_Number,120,Course_Type,"LEC",Course_Mark,"&gt;=50")+SUMIFS(Course_Weight,Department,"CHEM",Course_Number,120,Course_Type,"LEC",Course_Mark,"CR")=0.5,SUMIFS(Course_Weight,Department,"CHEM",Course_Number,120,Course_Type,"LAB.25",Course_Mark,"&gt;=50")+SUMIFS(Course_Weight,Department,"CHEM",Course_Number,120,Course_Type,"LAB.25",Course_Mark,"CR")=0.25,SUMIFS(Course_Weight,Department,"CHEM",Course_Number,123,Course_Type,"LEC",Course_Mark,"&gt;=50")+SUMIFS(Course_Weight,Department,"CHEM",Course_Number,123,Course_Type,"LEC",Course_Mark,"CR")=0.5,SUMIFS(Course_Weight,Department,"CHEM",Course_Number,123,Course_Type,"LAB.25",Course_Mark,"&gt;=50")+SUMIFS(Course_Weight,Department,"CHEM",Course_Number,123,Course_Type,"LAB.25",Course_Mark,"CR")=0.25),"Chemistry","CHEM")</f>
        <v>CHEM</v>
      </c>
      <c r="K34" s="8" t="str">
        <f>IF(AND(SUMIFS(Course_Weight,Department,"EARTH",Course_Number,121,Course_Type,"LEC",Course_Mark,"&gt;=50")+SUMIFS(Course_Weight,Department,"EARTH",Course_Number,121,Course_Type,"LEC",Course_Mark,"CR")=0.5,SUMIFS(Course_Weight,Department,"EARTH",Course_Number,121,Course_Type,"LAB.25",Course_Mark,"&gt;=50")+SUMIFS(Course_Weight,Department,"EARTH",Course_Number,121,Course_Type,"LAB.25",Course_Mark,"CR")=0.25,SUMIFS(Course_Weight,Department,"EARTH",Course_Number,122,Course_Type,"LEC",Course_Mark,"&gt;=50")+SUMIFS(Course_Weight,Department,"EARTH",Course_Number,122,Course_Type,"LEC",Course_Mark,"CR")=0.5,SUMIFS(Course_Weight,Department,"EARTH",Course_Number,122,Course_Type,"LAB.25",Course_Mark,"&gt;=50")+SUMIFS(Course_Weight,Department,"EARTH",Course_Number,122,Course_Type,"LAB.25",Course_Mark,"CR")=0.25),"Earth Science","EARTH")</f>
        <v>EARTH</v>
      </c>
      <c r="L34" s="8" t="str">
        <f>IF(AND(OR(SUMIFS(Course_Weight,Department,"PHYS",Course_Number,111,Course_Type,"LEC",Course_Mark,"&gt;=50")+SUMIFS(Course_Weight,Department,"PHYS",Course_Number,111,Course_Type,"LEC",Course_Mark,"CR")=0.5,SUMIFS(Course_Weight,Department,"PHYS",Course_Number,121,Course_Type,"LEC",Course_Mark,"&gt;=50")+SUMIFS(Course_Weight,Department,"PHYS",Course_Number,121,Course_Type,"LEC",Course_Mark,"CR")=0.5),OR(SUMIFS(Course_Weight,Department,"PHYS",Course_Number,121,Course_Type,"LAB.25",Course_Mark,"&gt;=50")+SUMIFS(Course_Weight,Department,"PHYS",Course_Number,121,Course_Type,"LAB.25",Course_Mark,"CR")=0.25,SUMIFS(Course_Weight,Department,"PHYS",Course_Number,111,Course_Type,"LAB.25",Course_Mark,"&gt;=50")+SUMIFS(Course_Weight,Department,"PHYS",Course_Number,111,Course_Type,"LAB.25",Course_Mark,"CR")=0.25,SUMIFS(Course_Weight,Department,"PHYS",Course_Number,131,Course_Type,"LAB.25",Course_Mark,"&gt;=50")+SUMIFS(Course_Weight,Department,"PHYS",Course_Number,131,Course_Type,"LAB.25",Course_Mark,"CR")=0.25),OR(SUMIFS(Course_Weight,Department,"PHYS",Course_Number,122,Course_Type,"LEC",Course_Mark,"&gt;=50")+SUMIFS(Course_Weight,Department,"PHYS",Course_Number,122,Course_Type,"LEC",Course_Mark,"CR")=0.5,SUMIFS(Course_Weight,Department,"PHYS",Course_Number,112,Course_Type,"LEC",Course_Mark,"&gt;=50")+SUMIFS(Course_Weight,Department,"PHYS",Course_Number,112,Course_Type,"LEC",Course_Mark,"CR")=0.5),OR(SUMIFS(Course_Weight,Department,"PHYS",Course_Number,122,Course_Type,"LAB.25",Course_Mark,"&gt;=50")+SUMIFS(Course_Weight,Department,"PHYS",Course_Number,122,Course_Type,"LAB.25",Course_Mark,"CR")=0.25,SUMIFS(Course_Weight,Department,"PHYS",Course_Number,112,Course_Type,"LAB.25",Course_Mark,"&gt;=50")+SUMIFS(Course_Weight,Department,"PHYS",Course_Number,112,Course_Type,"LAB.25",Course_Mark,"CR")=0.25,SUMIFS(Course_Weight,Department,"PHYS",Course_Number,132,Course_Type,"LAB.50",Course_Mark,"&gt;=50")+SUMIFS(Course_Weight,Department,"PHYS",Course_Number,132,Course_Type,"LAB.50",Course_Mark,"CR")=0.5)),"Physics","PHYS")</f>
        <v>PHYS</v>
      </c>
      <c r="M34" s="8" t="str">
        <f>IF(OR(FYBIOL1=FYBIOL2,FYBIOL1=112,FYBIOL1=101,FYBIOL2=112,FYBIOL2=101),"BIOL",IF(OR(AND(Year1Chem?="Chemistry",Year1Earth?="Earth Science"),AND(Year1Chem?="Chemistry",Year1Phys?="Physics"),AND(Year1Earth?="Earth Science",Year1Phys?="Physics")),"BIOL",IF(FYBIOL1Labs,IF(AND(SUMIFS(Course_Weight,Department,"BIOL",Course_Number,FYBIOL1,Course_Type,"LEC",Course_Mark,"&gt;=50")+SUMIFS(Course_Weight,Department,"BIOL",Course_Number,FYBIOL1,Course_Type,"LEC",Course_Mark,"CR")=0.5,SUMIFS(Course_Weight,Department,"BIOL",Course_Number,FYBIOL1,Course_Type,"LAB.25",Course_Mark,"&gt;=50")+SUMIFS(Course_Weight,Department,"BIOL",Course_Number,FYBIOL1,Course_Type,"LAB.25",Course_Mark,"CR")=0.25),IF(FYBIOL2Labs,IF(AND(SUMIFS(Course_Weight,Department,"BIOL",Course_Number,FYBIOL2,Course_Type,"LEC",Course_Mark,"&gt;=50")+SUMIFS(Course_Weight,Department,"BIOL",Course_Number,FYBIOL2,Course_Type,"LEC",Course_Mark,"CR")=0.5,SUMIFS(Course_Weight,Department,"BIOL",Course_Number,FYBIOL2,Course_Type,"LAB.25",Course_Mark,"&gt;=50")+SUMIFS(Course_Weight,Department,"BIOL",Course_Number,FYBIOL2,Course_Type,"LAB.25",Course_Mark,"CR")=0.25),"Biology","BIOL"),IF(SUMIFS(Course_Weight,Department,"BIOL",Course_Number,FYBIOL2,Course_Type,"LEC",Course_Mark,"&gt;=50")+SUMIFS(Course_Weight,Department,"BIOL",Course_Number,FYBIOL2,Course_Type,"LEC",Course_Mark,"CR")=0.5,"Biology","BIOL")),"BIOL"),IF(OR(SUMIFS(Course_Weight,Department,"BIOL",Course_Number,FYBIOL1,Course_Type,"LEC",Course_Mark,"CR"),SUMIFS(Course_Weight,Department,"BIOL",Course_Number,FYBIOL1,Course_Type,"LEC",Course_Mark,"&gt;=50")),IF(FYBIOL2Labs,IF(AND(SUMIFS(Course_Weight,Department,"BIOL",Course_Number,FYBIOL2,Course_Type,"LEC",Course_Mark,"&gt;=50")+SUMIFS(Course_Weight,Department,"BIOL",Course_Number,FYBIOL2,Course_Type,"LEC",Course_Mark,"CR")=0.5,SUMIFS(Course_Weight,Department,"BIOL",Course_Number,FYBIOL2,Course_Type,"LAB.25",Course_Mark,"&gt;=50")+SUMIFS(Course_Weight,Department,"BIOL",Course_Number,FYBIOL2,Course_Type,"LAB.25",Course_Mark,"CR")=0.25),"Biology","BIOL"),IF(SUMIFS(Course_Weight,Department,"BIOL",Course_Number,FYBIOL2,Course_Type,"LEC",Course_Mark,"&gt;=50")+SUMIFS(Course_Weight,Department,"BIOL",Course_Number,FYBIOL2,Course_Type,"LEC",Course_Mark,"CR")=0.5,"Biology","BIOL")),"BIOL"))))</f>
        <v>BIOL</v>
      </c>
    </row>
    <row r="35" spans="1:14" x14ac:dyDescent="0.3">
      <c r="A35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35" s="32"/>
      <c r="C35" s="35"/>
      <c r="D35" s="37"/>
      <c r="E35" s="35"/>
      <c r="G35" s="18" t="str">
        <f t="shared" ref="G35:G66" si="2">IF(ISBLANK(Course_Type)," ",IF(OR(Course_Type="LEC",Course_Type="LAB.50",Course_Type="NSLAB.50", Course_Type="STU",Course_Type="PRJ"),0.5,IF(OR(Course_Type="LAB.25",Course_Type="NSLAB.25",Course_Type="ENS"),0.25,0)))</f>
        <v xml:space="preserve"> </v>
      </c>
      <c r="H35" s="22" t="str">
        <f t="shared" ref="H35:H66" si="3">IF(ISBLANK(Course_Mark)," ",IF(OR(Course_Mark="WD",Course_Mark="CR",Course_Mark="INC",Course_Mark="IP",Course_Mark="UR"),0,IF(OR(Course_Mark="WF",Course_Mark="FTC",Course_Mark="DNW",Course_Mark="NMR",AND(Course_Mark&gt;=0,Course_Mark&lt;=MarkMin)),Course_Weight*MarkMin, Course_Weight*Course_Mark)))</f>
        <v xml:space="preserve"> </v>
      </c>
      <c r="I35" s="3"/>
      <c r="J35" s="3"/>
      <c r="K35" s="3"/>
      <c r="M35" s="5"/>
      <c r="N35" s="29" t="s">
        <v>136</v>
      </c>
    </row>
    <row r="36" spans="1:14" x14ac:dyDescent="0.3">
      <c r="A36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36" s="32"/>
      <c r="C36" s="35"/>
      <c r="D36" s="37"/>
      <c r="E36" s="35"/>
      <c r="G36" s="18" t="str">
        <f t="shared" si="2"/>
        <v xml:space="preserve"> </v>
      </c>
      <c r="H36" s="22" t="str">
        <f t="shared" si="3"/>
        <v xml:space="preserve"> </v>
      </c>
      <c r="I36" s="3"/>
      <c r="M36" s="5"/>
      <c r="N36" s="29" t="s">
        <v>136</v>
      </c>
    </row>
    <row r="37" spans="1:14" x14ac:dyDescent="0.3">
      <c r="A37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37" s="32"/>
      <c r="C37" s="35"/>
      <c r="D37" s="37"/>
      <c r="E37" s="35"/>
      <c r="G37" s="18" t="str">
        <f t="shared" si="2"/>
        <v xml:space="preserve"> </v>
      </c>
      <c r="H37" s="22" t="str">
        <f t="shared" si="3"/>
        <v xml:space="preserve"> </v>
      </c>
      <c r="J37" s="13" t="s">
        <v>156</v>
      </c>
    </row>
    <row r="38" spans="1:14" x14ac:dyDescent="0.3">
      <c r="A38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38" s="32"/>
      <c r="C38" s="35"/>
      <c r="D38" s="37"/>
      <c r="E38" s="35"/>
      <c r="G38" s="18" t="str">
        <f t="shared" si="2"/>
        <v xml:space="preserve"> </v>
      </c>
      <c r="H38" s="22" t="str">
        <f t="shared" si="3"/>
        <v xml:space="preserve"> </v>
      </c>
      <c r="J38" s="13" t="s">
        <v>157</v>
      </c>
      <c r="K38" s="29"/>
    </row>
    <row r="39" spans="1:14" x14ac:dyDescent="0.3">
      <c r="A39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39" s="32"/>
      <c r="C39" s="35"/>
      <c r="D39" s="37"/>
      <c r="E39" s="35"/>
      <c r="G39" s="18" t="str">
        <f t="shared" si="2"/>
        <v xml:space="preserve"> </v>
      </c>
      <c r="H39" s="22" t="str">
        <f t="shared" si="3"/>
        <v xml:space="preserve"> </v>
      </c>
      <c r="J39" s="13" t="s">
        <v>159</v>
      </c>
    </row>
    <row r="40" spans="1:14" x14ac:dyDescent="0.3">
      <c r="A40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40" s="32"/>
      <c r="C40" s="35"/>
      <c r="D40" s="37"/>
      <c r="E40" s="35"/>
      <c r="G40" s="18" t="str">
        <f t="shared" si="2"/>
        <v xml:space="preserve"> </v>
      </c>
      <c r="H40" s="22" t="str">
        <f t="shared" si="3"/>
        <v xml:space="preserve"> </v>
      </c>
      <c r="J40" s="13" t="s">
        <v>154</v>
      </c>
      <c r="K40" s="24"/>
      <c r="L40" s="24"/>
    </row>
    <row r="41" spans="1:14" x14ac:dyDescent="0.3">
      <c r="A41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41" s="32"/>
      <c r="C41" s="35"/>
      <c r="D41" s="37"/>
      <c r="E41" s="35"/>
      <c r="G41" s="18" t="str">
        <f t="shared" si="2"/>
        <v xml:space="preserve"> </v>
      </c>
      <c r="H41" s="22" t="str">
        <f t="shared" si="3"/>
        <v xml:space="preserve"> </v>
      </c>
      <c r="J41" s="13" t="s">
        <v>155</v>
      </c>
      <c r="K41" s="24"/>
    </row>
    <row r="42" spans="1:14" x14ac:dyDescent="0.3">
      <c r="A42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42" s="32"/>
      <c r="C42" s="35"/>
      <c r="D42" s="37"/>
      <c r="E42" s="35"/>
      <c r="G42" s="18" t="str">
        <f t="shared" si="2"/>
        <v xml:space="preserve"> </v>
      </c>
      <c r="H42" s="22" t="str">
        <f t="shared" si="3"/>
        <v xml:space="preserve"> </v>
      </c>
      <c r="I42" s="43" t="s">
        <v>226</v>
      </c>
      <c r="J42" s="43"/>
      <c r="K42" s="43"/>
      <c r="L42" s="43"/>
      <c r="M42" s="43"/>
    </row>
    <row r="43" spans="1:14" x14ac:dyDescent="0.3">
      <c r="A43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43" s="32"/>
      <c r="C43" s="35"/>
      <c r="D43" s="37"/>
      <c r="E43" s="35"/>
      <c r="G43" s="18" t="str">
        <f t="shared" si="2"/>
        <v xml:space="preserve"> </v>
      </c>
      <c r="H43" s="22" t="str">
        <f t="shared" si="3"/>
        <v xml:space="preserve"> </v>
      </c>
      <c r="I43" s="43"/>
      <c r="J43" s="43"/>
      <c r="K43" s="43"/>
      <c r="L43" s="43"/>
      <c r="M43" s="43"/>
    </row>
    <row r="44" spans="1:14" x14ac:dyDescent="0.3">
      <c r="A44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44" s="32"/>
      <c r="C44" s="35"/>
      <c r="D44" s="37"/>
      <c r="E44" s="35"/>
      <c r="G44" s="18" t="str">
        <f t="shared" si="2"/>
        <v xml:space="preserve"> </v>
      </c>
      <c r="H44" s="22" t="str">
        <f t="shared" si="3"/>
        <v xml:space="preserve"> </v>
      </c>
      <c r="I44" s="43"/>
      <c r="J44" s="43"/>
      <c r="K44" s="43"/>
      <c r="L44" s="43"/>
      <c r="M44" s="43"/>
    </row>
    <row r="45" spans="1:14" x14ac:dyDescent="0.3">
      <c r="A45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45" s="32"/>
      <c r="C45" s="35"/>
      <c r="D45" s="37"/>
      <c r="E45" s="35"/>
      <c r="G45" s="18" t="str">
        <f t="shared" si="2"/>
        <v xml:space="preserve"> </v>
      </c>
      <c r="H45" s="22" t="str">
        <f t="shared" si="3"/>
        <v xml:space="preserve"> </v>
      </c>
      <c r="I45" s="43"/>
      <c r="J45" s="43"/>
      <c r="K45" s="43"/>
      <c r="L45" s="43"/>
      <c r="M45" s="43"/>
    </row>
    <row r="46" spans="1:14" x14ac:dyDescent="0.3">
      <c r="A46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46" s="32"/>
      <c r="C46" s="35"/>
      <c r="D46" s="37"/>
      <c r="E46" s="35"/>
      <c r="G46" s="18" t="str">
        <f t="shared" si="2"/>
        <v xml:space="preserve"> </v>
      </c>
      <c r="H46" s="22" t="str">
        <f t="shared" si="3"/>
        <v xml:space="preserve"> </v>
      </c>
      <c r="I46" s="43"/>
      <c r="J46" s="43"/>
      <c r="K46" s="43"/>
      <c r="L46" s="43"/>
      <c r="M46" s="43"/>
    </row>
    <row r="47" spans="1:14" x14ac:dyDescent="0.3">
      <c r="A47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47" s="32"/>
      <c r="C47" s="35"/>
      <c r="D47" s="37"/>
      <c r="E47" s="35"/>
      <c r="G47" s="18" t="str">
        <f t="shared" si="2"/>
        <v xml:space="preserve"> </v>
      </c>
      <c r="H47" s="22" t="str">
        <f t="shared" si="3"/>
        <v xml:space="preserve"> </v>
      </c>
    </row>
    <row r="48" spans="1:14" x14ac:dyDescent="0.3">
      <c r="A48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48" s="32"/>
      <c r="C48" s="35"/>
      <c r="D48" s="37"/>
      <c r="E48" s="35"/>
      <c r="G48" s="18" t="str">
        <f t="shared" si="2"/>
        <v xml:space="preserve"> </v>
      </c>
      <c r="H48" s="22" t="str">
        <f t="shared" si="3"/>
        <v xml:space="preserve"> </v>
      </c>
    </row>
    <row r="49" spans="1:8" x14ac:dyDescent="0.3">
      <c r="A49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49" s="32"/>
      <c r="C49" s="35"/>
      <c r="D49" s="37"/>
      <c r="E49" s="35"/>
      <c r="G49" s="18" t="str">
        <f t="shared" si="2"/>
        <v xml:space="preserve"> </v>
      </c>
      <c r="H49" s="22" t="str">
        <f t="shared" si="3"/>
        <v xml:space="preserve"> </v>
      </c>
    </row>
    <row r="50" spans="1:8" x14ac:dyDescent="0.3">
      <c r="A50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50" s="32"/>
      <c r="C50" s="35"/>
      <c r="D50" s="37"/>
      <c r="E50" s="35"/>
      <c r="G50" s="18" t="str">
        <f t="shared" si="2"/>
        <v xml:space="preserve"> </v>
      </c>
      <c r="H50" s="22" t="str">
        <f t="shared" si="3"/>
        <v xml:space="preserve"> </v>
      </c>
    </row>
    <row r="51" spans="1:8" x14ac:dyDescent="0.3">
      <c r="A51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51" s="32"/>
      <c r="C51" s="35"/>
      <c r="D51" s="37"/>
      <c r="E51" s="35"/>
      <c r="G51" s="18" t="str">
        <f t="shared" si="2"/>
        <v xml:space="preserve"> </v>
      </c>
      <c r="H51" s="22" t="str">
        <f t="shared" si="3"/>
        <v xml:space="preserve"> </v>
      </c>
    </row>
    <row r="52" spans="1:8" x14ac:dyDescent="0.3">
      <c r="A52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52" s="32"/>
      <c r="C52" s="35"/>
      <c r="D52" s="37"/>
      <c r="E52" s="35"/>
      <c r="G52" s="18" t="str">
        <f t="shared" si="2"/>
        <v xml:space="preserve"> </v>
      </c>
      <c r="H52" s="22" t="str">
        <f t="shared" si="3"/>
        <v xml:space="preserve"> </v>
      </c>
    </row>
    <row r="53" spans="1:8" x14ac:dyDescent="0.3">
      <c r="A53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53" s="32"/>
      <c r="C53" s="35"/>
      <c r="D53" s="37"/>
      <c r="E53" s="35"/>
      <c r="G53" s="18" t="str">
        <f t="shared" si="2"/>
        <v xml:space="preserve"> </v>
      </c>
      <c r="H53" s="22" t="str">
        <f t="shared" si="3"/>
        <v xml:space="preserve"> </v>
      </c>
    </row>
    <row r="54" spans="1:8" x14ac:dyDescent="0.3">
      <c r="A54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54" s="32"/>
      <c r="C54" s="35"/>
      <c r="D54" s="37"/>
      <c r="E54" s="35"/>
      <c r="G54" s="18" t="str">
        <f t="shared" si="2"/>
        <v xml:space="preserve"> </v>
      </c>
      <c r="H54" s="22" t="str">
        <f t="shared" si="3"/>
        <v xml:space="preserve"> </v>
      </c>
    </row>
    <row r="55" spans="1:8" x14ac:dyDescent="0.3">
      <c r="A55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55" s="32"/>
      <c r="C55" s="35"/>
      <c r="D55" s="37"/>
      <c r="E55" s="35"/>
      <c r="G55" s="18" t="str">
        <f t="shared" si="2"/>
        <v xml:space="preserve"> </v>
      </c>
      <c r="H55" s="22" t="str">
        <f t="shared" si="3"/>
        <v xml:space="preserve"> </v>
      </c>
    </row>
    <row r="56" spans="1:8" x14ac:dyDescent="0.3">
      <c r="A56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56" s="32"/>
      <c r="C56" s="35"/>
      <c r="D56" s="37"/>
      <c r="E56" s="35"/>
      <c r="G56" s="18" t="str">
        <f t="shared" si="2"/>
        <v xml:space="preserve"> </v>
      </c>
      <c r="H56" s="22" t="str">
        <f t="shared" si="3"/>
        <v xml:space="preserve"> </v>
      </c>
    </row>
    <row r="57" spans="1:8" x14ac:dyDescent="0.3">
      <c r="A57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57" s="32"/>
      <c r="C57" s="35"/>
      <c r="D57" s="37"/>
      <c r="E57" s="35"/>
      <c r="G57" s="18" t="str">
        <f t="shared" si="2"/>
        <v xml:space="preserve"> </v>
      </c>
      <c r="H57" s="22" t="str">
        <f t="shared" si="3"/>
        <v xml:space="preserve"> </v>
      </c>
    </row>
    <row r="58" spans="1:8" x14ac:dyDescent="0.3">
      <c r="A58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58" s="32"/>
      <c r="C58" s="35"/>
      <c r="D58" s="37"/>
      <c r="E58" s="35"/>
      <c r="G58" s="18" t="str">
        <f t="shared" si="2"/>
        <v xml:space="preserve"> </v>
      </c>
      <c r="H58" s="22" t="str">
        <f t="shared" si="3"/>
        <v xml:space="preserve"> </v>
      </c>
    </row>
    <row r="59" spans="1:8" x14ac:dyDescent="0.3">
      <c r="A59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59" s="32"/>
      <c r="C59" s="35"/>
      <c r="D59" s="37"/>
      <c r="E59" s="35"/>
      <c r="G59" s="18" t="str">
        <f t="shared" si="2"/>
        <v xml:space="preserve"> </v>
      </c>
      <c r="H59" s="22" t="str">
        <f t="shared" si="3"/>
        <v xml:space="preserve"> </v>
      </c>
    </row>
    <row r="60" spans="1:8" x14ac:dyDescent="0.3">
      <c r="A60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60" s="32"/>
      <c r="C60" s="35"/>
      <c r="D60" s="37"/>
      <c r="E60" s="39"/>
      <c r="G60" s="18" t="str">
        <f t="shared" si="2"/>
        <v xml:space="preserve"> </v>
      </c>
      <c r="H60" s="22" t="str">
        <f t="shared" si="3"/>
        <v xml:space="preserve"> </v>
      </c>
    </row>
    <row r="61" spans="1:8" x14ac:dyDescent="0.3">
      <c r="A61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61" s="32"/>
      <c r="C61" s="35"/>
      <c r="D61" s="37"/>
      <c r="E61" s="39"/>
      <c r="G61" s="18" t="str">
        <f t="shared" si="2"/>
        <v xml:space="preserve"> </v>
      </c>
      <c r="H61" s="22" t="str">
        <f t="shared" si="3"/>
        <v xml:space="preserve"> </v>
      </c>
    </row>
    <row r="62" spans="1:8" x14ac:dyDescent="0.3">
      <c r="A62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62" s="32"/>
      <c r="C62" s="35"/>
      <c r="D62" s="37"/>
      <c r="E62" s="39"/>
      <c r="G62" s="18" t="str">
        <f t="shared" si="2"/>
        <v xml:space="preserve"> </v>
      </c>
      <c r="H62" s="22" t="str">
        <f t="shared" si="3"/>
        <v xml:space="preserve"> </v>
      </c>
    </row>
    <row r="63" spans="1:8" x14ac:dyDescent="0.3">
      <c r="A63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63" s="32"/>
      <c r="C63" s="35"/>
      <c r="D63" s="37"/>
      <c r="E63" s="39"/>
      <c r="G63" s="18" t="str">
        <f t="shared" si="2"/>
        <v xml:space="preserve"> </v>
      </c>
      <c r="H63" s="22" t="str">
        <f t="shared" si="3"/>
        <v xml:space="preserve"> </v>
      </c>
    </row>
    <row r="64" spans="1:8" x14ac:dyDescent="0.3">
      <c r="A64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64" s="32"/>
      <c r="C64" s="35"/>
      <c r="D64" s="37"/>
      <c r="E64" s="39"/>
      <c r="G64" s="18" t="str">
        <f t="shared" si="2"/>
        <v xml:space="preserve"> </v>
      </c>
      <c r="H64" s="22" t="str">
        <f t="shared" si="3"/>
        <v xml:space="preserve"> </v>
      </c>
    </row>
    <row r="65" spans="1:8" x14ac:dyDescent="0.3">
      <c r="A65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65" s="32"/>
      <c r="C65" s="35"/>
      <c r="D65" s="37"/>
      <c r="E65" s="40"/>
      <c r="G65" s="18" t="str">
        <f t="shared" si="2"/>
        <v xml:space="preserve"> </v>
      </c>
      <c r="H65" s="22" t="str">
        <f t="shared" si="3"/>
        <v xml:space="preserve"> </v>
      </c>
    </row>
    <row r="66" spans="1:8" x14ac:dyDescent="0.3">
      <c r="A66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66" s="32"/>
      <c r="C66" s="35"/>
      <c r="D66" s="37"/>
      <c r="E66" s="40"/>
      <c r="G66" s="18" t="str">
        <f t="shared" si="2"/>
        <v xml:space="preserve"> </v>
      </c>
      <c r="H66" s="22" t="str">
        <f t="shared" si="3"/>
        <v xml:space="preserve"> </v>
      </c>
    </row>
    <row r="67" spans="1:8" x14ac:dyDescent="0.3">
      <c r="A67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67" s="32"/>
      <c r="C67" s="35"/>
      <c r="D67" s="37"/>
      <c r="E67" s="40"/>
      <c r="G67" s="18" t="str">
        <f t="shared" ref="G67:G99" si="4">IF(ISBLANK(Course_Type)," ",IF(OR(Course_Type="LEC",Course_Type="LAB.50",Course_Type="NSLAB.50", Course_Type="STU",Course_Type="PRJ"),0.5,IF(OR(Course_Type="LAB.25",Course_Type="NSLAB.25",Course_Type="ENS"),0.25,0)))</f>
        <v xml:space="preserve"> </v>
      </c>
      <c r="H67" s="22" t="str">
        <f t="shared" ref="H67:H99" si="5">IF(ISBLANK(Course_Mark)," ",IF(OR(Course_Mark="WD",Course_Mark="CR",Course_Mark="INC",Course_Mark="IP",Course_Mark="UR"),0,IF(OR(Course_Mark="WF",Course_Mark="FTC",Course_Mark="DNW",Course_Mark="NMR",AND(Course_Mark&gt;=0,Course_Mark&lt;=MarkMin)),Course_Weight*MarkMin, Course_Weight*Course_Mark)))</f>
        <v xml:space="preserve"> </v>
      </c>
    </row>
    <row r="68" spans="1:8" x14ac:dyDescent="0.3">
      <c r="A68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68" s="32"/>
      <c r="C68" s="35"/>
      <c r="D68" s="37"/>
      <c r="E68" s="40"/>
      <c r="G68" s="18" t="str">
        <f t="shared" si="4"/>
        <v xml:space="preserve"> </v>
      </c>
      <c r="H68" s="22" t="str">
        <f t="shared" si="5"/>
        <v xml:space="preserve"> </v>
      </c>
    </row>
    <row r="69" spans="1:8" x14ac:dyDescent="0.3">
      <c r="A69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69" s="32"/>
      <c r="C69" s="35"/>
      <c r="D69" s="37"/>
      <c r="E69" s="40"/>
      <c r="G69" s="18" t="str">
        <f t="shared" si="4"/>
        <v xml:space="preserve"> </v>
      </c>
      <c r="H69" s="22" t="str">
        <f t="shared" si="5"/>
        <v xml:space="preserve"> </v>
      </c>
    </row>
    <row r="70" spans="1:8" x14ac:dyDescent="0.3">
      <c r="A70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70" s="32"/>
      <c r="C70" s="35"/>
      <c r="D70" s="37"/>
      <c r="E70" s="40"/>
      <c r="G70" s="18" t="str">
        <f t="shared" si="4"/>
        <v xml:space="preserve"> </v>
      </c>
      <c r="H70" s="22" t="str">
        <f t="shared" si="5"/>
        <v xml:space="preserve"> </v>
      </c>
    </row>
    <row r="71" spans="1:8" x14ac:dyDescent="0.3">
      <c r="A71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71" s="32"/>
      <c r="C71" s="35"/>
      <c r="D71" s="37"/>
      <c r="E71" s="40"/>
      <c r="G71" s="18" t="str">
        <f t="shared" si="4"/>
        <v xml:space="preserve"> </v>
      </c>
      <c r="H71" s="22" t="str">
        <f t="shared" si="5"/>
        <v xml:space="preserve"> </v>
      </c>
    </row>
    <row r="72" spans="1:8" x14ac:dyDescent="0.3">
      <c r="A72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72" s="32"/>
      <c r="C72" s="35"/>
      <c r="D72" s="37"/>
      <c r="E72" s="40"/>
      <c r="G72" s="18" t="str">
        <f t="shared" si="4"/>
        <v xml:space="preserve"> </v>
      </c>
      <c r="H72" s="22" t="str">
        <f t="shared" si="5"/>
        <v xml:space="preserve"> </v>
      </c>
    </row>
    <row r="73" spans="1:8" x14ac:dyDescent="0.3">
      <c r="A73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73" s="32"/>
      <c r="C73" s="35"/>
      <c r="D73" s="37"/>
      <c r="E73" s="40"/>
      <c r="G73" s="18" t="str">
        <f t="shared" si="4"/>
        <v xml:space="preserve"> </v>
      </c>
      <c r="H73" s="22" t="str">
        <f t="shared" si="5"/>
        <v xml:space="preserve"> </v>
      </c>
    </row>
    <row r="74" spans="1:8" x14ac:dyDescent="0.3">
      <c r="A74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74" s="32"/>
      <c r="C74" s="35"/>
      <c r="D74" s="37"/>
      <c r="E74" s="40"/>
      <c r="G74" s="18" t="str">
        <f t="shared" si="4"/>
        <v xml:space="preserve"> </v>
      </c>
      <c r="H74" s="22" t="str">
        <f t="shared" si="5"/>
        <v xml:space="preserve"> </v>
      </c>
    </row>
    <row r="75" spans="1:8" x14ac:dyDescent="0.3">
      <c r="A75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75" s="32"/>
      <c r="C75" s="35"/>
      <c r="D75" s="37"/>
      <c r="E75" s="40"/>
      <c r="G75" s="18" t="str">
        <f t="shared" si="4"/>
        <v xml:space="preserve"> </v>
      </c>
      <c r="H75" s="22" t="str">
        <f t="shared" si="5"/>
        <v xml:space="preserve"> </v>
      </c>
    </row>
    <row r="76" spans="1:8" x14ac:dyDescent="0.3">
      <c r="A76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76" s="32"/>
      <c r="C76" s="35"/>
      <c r="D76" s="37"/>
      <c r="E76" s="40"/>
      <c r="G76" s="18" t="str">
        <f t="shared" si="4"/>
        <v xml:space="preserve"> </v>
      </c>
      <c r="H76" s="22" t="str">
        <f t="shared" si="5"/>
        <v xml:space="preserve"> </v>
      </c>
    </row>
    <row r="77" spans="1:8" x14ac:dyDescent="0.3">
      <c r="A77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77" s="32"/>
      <c r="C77" s="35"/>
      <c r="D77" s="37"/>
      <c r="E77" s="40"/>
      <c r="G77" s="18" t="str">
        <f t="shared" si="4"/>
        <v xml:space="preserve"> </v>
      </c>
      <c r="H77" s="22" t="str">
        <f t="shared" si="5"/>
        <v xml:space="preserve"> </v>
      </c>
    </row>
    <row r="78" spans="1:8" x14ac:dyDescent="0.3">
      <c r="A78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78" s="32"/>
      <c r="C78" s="35"/>
      <c r="D78" s="37"/>
      <c r="E78" s="40"/>
      <c r="G78" s="18" t="str">
        <f t="shared" si="4"/>
        <v xml:space="preserve"> </v>
      </c>
      <c r="H78" s="22" t="str">
        <f t="shared" si="5"/>
        <v xml:space="preserve"> </v>
      </c>
    </row>
    <row r="79" spans="1:8" x14ac:dyDescent="0.3">
      <c r="A79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79" s="32"/>
      <c r="C79" s="35"/>
      <c r="D79" s="37"/>
      <c r="E79" s="40"/>
      <c r="G79" s="18" t="str">
        <f t="shared" si="4"/>
        <v xml:space="preserve"> </v>
      </c>
      <c r="H79" s="22" t="str">
        <f t="shared" si="5"/>
        <v xml:space="preserve"> </v>
      </c>
    </row>
    <row r="80" spans="1:8" x14ac:dyDescent="0.3">
      <c r="A80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80" s="32"/>
      <c r="C80" s="35"/>
      <c r="D80" s="37"/>
      <c r="E80" s="40"/>
      <c r="G80" s="18" t="str">
        <f t="shared" si="4"/>
        <v xml:space="preserve"> </v>
      </c>
      <c r="H80" s="22" t="str">
        <f t="shared" si="5"/>
        <v xml:space="preserve"> </v>
      </c>
    </row>
    <row r="81" spans="1:8" x14ac:dyDescent="0.3">
      <c r="A81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81" s="32"/>
      <c r="C81" s="35"/>
      <c r="D81" s="37"/>
      <c r="E81" s="40"/>
      <c r="G81" s="18" t="str">
        <f t="shared" si="4"/>
        <v xml:space="preserve"> </v>
      </c>
      <c r="H81" s="22" t="str">
        <f t="shared" si="5"/>
        <v xml:space="preserve"> </v>
      </c>
    </row>
    <row r="82" spans="1:8" x14ac:dyDescent="0.3">
      <c r="A82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82" s="32"/>
      <c r="C82" s="35"/>
      <c r="D82" s="37"/>
      <c r="E82" s="40"/>
      <c r="G82" s="18" t="str">
        <f t="shared" si="4"/>
        <v xml:space="preserve"> </v>
      </c>
      <c r="H82" s="22" t="str">
        <f t="shared" si="5"/>
        <v xml:space="preserve"> </v>
      </c>
    </row>
    <row r="83" spans="1:8" x14ac:dyDescent="0.3">
      <c r="A83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83" s="32"/>
      <c r="C83" s="35"/>
      <c r="D83" s="37"/>
      <c r="E83" s="40"/>
      <c r="G83" s="18" t="str">
        <f t="shared" si="4"/>
        <v xml:space="preserve"> </v>
      </c>
      <c r="H83" s="22" t="str">
        <f t="shared" si="5"/>
        <v xml:space="preserve"> </v>
      </c>
    </row>
    <row r="84" spans="1:8" x14ac:dyDescent="0.3">
      <c r="A84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84" s="32"/>
      <c r="C84" s="35"/>
      <c r="D84" s="37"/>
      <c r="E84" s="40"/>
      <c r="G84" s="18" t="str">
        <f t="shared" si="4"/>
        <v xml:space="preserve"> </v>
      </c>
      <c r="H84" s="22" t="str">
        <f t="shared" si="5"/>
        <v xml:space="preserve"> </v>
      </c>
    </row>
    <row r="85" spans="1:8" x14ac:dyDescent="0.3">
      <c r="A85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85" s="32"/>
      <c r="C85" s="35"/>
      <c r="D85" s="37"/>
      <c r="E85" s="40"/>
      <c r="G85" s="18" t="str">
        <f t="shared" si="4"/>
        <v xml:space="preserve"> </v>
      </c>
      <c r="H85" s="22" t="str">
        <f t="shared" si="5"/>
        <v xml:space="preserve"> </v>
      </c>
    </row>
    <row r="86" spans="1:8" x14ac:dyDescent="0.3">
      <c r="A86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86" s="32"/>
      <c r="C86" s="35"/>
      <c r="D86" s="37"/>
      <c r="E86" s="40"/>
      <c r="G86" s="18" t="str">
        <f t="shared" si="4"/>
        <v xml:space="preserve"> </v>
      </c>
      <c r="H86" s="22" t="str">
        <f t="shared" si="5"/>
        <v xml:space="preserve"> </v>
      </c>
    </row>
    <row r="87" spans="1:8" x14ac:dyDescent="0.3">
      <c r="A87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87" s="32"/>
      <c r="C87" s="35"/>
      <c r="D87" s="37"/>
      <c r="E87" s="40"/>
      <c r="G87" s="18" t="str">
        <f t="shared" si="4"/>
        <v xml:space="preserve"> </v>
      </c>
      <c r="H87" s="22" t="str">
        <f t="shared" si="5"/>
        <v xml:space="preserve"> </v>
      </c>
    </row>
    <row r="88" spans="1:8" x14ac:dyDescent="0.3">
      <c r="A88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88" s="32"/>
      <c r="C88" s="35"/>
      <c r="D88" s="37"/>
      <c r="E88" s="40"/>
      <c r="G88" s="18" t="str">
        <f t="shared" si="4"/>
        <v xml:space="preserve"> </v>
      </c>
      <c r="H88" s="22" t="str">
        <f t="shared" si="5"/>
        <v xml:space="preserve"> </v>
      </c>
    </row>
    <row r="89" spans="1:8" x14ac:dyDescent="0.3">
      <c r="A89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89" s="32"/>
      <c r="C89" s="35"/>
      <c r="D89" s="37"/>
      <c r="E89" s="40"/>
      <c r="G89" s="18" t="str">
        <f t="shared" si="4"/>
        <v xml:space="preserve"> </v>
      </c>
      <c r="H89" s="22" t="str">
        <f t="shared" si="5"/>
        <v xml:space="preserve"> </v>
      </c>
    </row>
    <row r="90" spans="1:8" x14ac:dyDescent="0.3">
      <c r="A90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90" s="32"/>
      <c r="C90" s="35"/>
      <c r="D90" s="37"/>
      <c r="E90" s="40"/>
      <c r="G90" s="18" t="str">
        <f t="shared" si="4"/>
        <v xml:space="preserve"> </v>
      </c>
      <c r="H90" s="22" t="str">
        <f t="shared" si="5"/>
        <v xml:space="preserve"> </v>
      </c>
    </row>
    <row r="91" spans="1:8" x14ac:dyDescent="0.3">
      <c r="A91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91" s="32"/>
      <c r="C91" s="35"/>
      <c r="D91" s="37"/>
      <c r="E91" s="40"/>
      <c r="G91" s="18" t="str">
        <f t="shared" si="4"/>
        <v xml:space="preserve"> </v>
      </c>
      <c r="H91" s="22" t="str">
        <f t="shared" si="5"/>
        <v xml:space="preserve"> </v>
      </c>
    </row>
    <row r="92" spans="1:8" x14ac:dyDescent="0.3">
      <c r="A92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92" s="32"/>
      <c r="C92" s="35"/>
      <c r="D92" s="37"/>
      <c r="E92" s="40"/>
      <c r="G92" s="18" t="str">
        <f t="shared" si="4"/>
        <v xml:space="preserve"> </v>
      </c>
      <c r="H92" s="22" t="str">
        <f t="shared" si="5"/>
        <v xml:space="preserve"> </v>
      </c>
    </row>
    <row r="93" spans="1:8" x14ac:dyDescent="0.3">
      <c r="A93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93" s="32"/>
      <c r="C93" s="35"/>
      <c r="D93" s="37"/>
      <c r="E93" s="40"/>
      <c r="G93" s="18" t="str">
        <f t="shared" si="4"/>
        <v xml:space="preserve"> </v>
      </c>
      <c r="H93" s="22" t="str">
        <f t="shared" si="5"/>
        <v xml:space="preserve"> </v>
      </c>
    </row>
    <row r="94" spans="1:8" x14ac:dyDescent="0.3">
      <c r="A94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94" s="32"/>
      <c r="C94" s="35"/>
      <c r="D94" s="37"/>
      <c r="E94" s="40"/>
      <c r="G94" s="18" t="str">
        <f t="shared" si="4"/>
        <v xml:space="preserve"> </v>
      </c>
      <c r="H94" s="22" t="str">
        <f t="shared" si="5"/>
        <v xml:space="preserve"> </v>
      </c>
    </row>
    <row r="95" spans="1:8" x14ac:dyDescent="0.3">
      <c r="A95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95" s="32"/>
      <c r="C95" s="35"/>
      <c r="D95" s="37"/>
      <c r="E95" s="40"/>
      <c r="G95" s="18" t="str">
        <f t="shared" si="4"/>
        <v xml:space="preserve"> </v>
      </c>
      <c r="H95" s="22" t="str">
        <f t="shared" si="5"/>
        <v xml:space="preserve"> </v>
      </c>
    </row>
    <row r="96" spans="1:8" x14ac:dyDescent="0.3">
      <c r="A96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96" s="32"/>
      <c r="C96" s="35"/>
      <c r="D96" s="37"/>
      <c r="E96" s="40"/>
      <c r="G96" s="18" t="str">
        <f t="shared" si="4"/>
        <v xml:space="preserve"> </v>
      </c>
      <c r="H96" s="22" t="str">
        <f t="shared" si="5"/>
        <v xml:space="preserve"> </v>
      </c>
    </row>
    <row r="97" spans="1:8" x14ac:dyDescent="0.3">
      <c r="A97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97" s="32"/>
      <c r="C97" s="35"/>
      <c r="D97" s="37"/>
      <c r="E97" s="40"/>
      <c r="G97" s="18" t="str">
        <f t="shared" si="4"/>
        <v xml:space="preserve"> </v>
      </c>
      <c r="H97" s="22" t="str">
        <f t="shared" si="5"/>
        <v xml:space="preserve"> </v>
      </c>
    </row>
    <row r="98" spans="1:8" x14ac:dyDescent="0.3">
      <c r="A98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98" s="32"/>
      <c r="C98" s="35"/>
      <c r="D98" s="37"/>
      <c r="E98" s="40"/>
      <c r="G98" s="18" t="str">
        <f t="shared" si="4"/>
        <v xml:space="preserve"> </v>
      </c>
      <c r="H98" s="22" t="str">
        <f t="shared" si="5"/>
        <v xml:space="preserve"> </v>
      </c>
    </row>
    <row r="99" spans="1:8" x14ac:dyDescent="0.3">
      <c r="A99" s="25" t="str">
        <f>IF(OR(AND(Department="GERON",Course_Number=255)),"SCI",IF(ISBLANK(Department)," ",IF(ISNA(VLOOKUP(Department,SciDept,1,FALSE)),IF(ISNA(VLOOKUP(Department,Arts,1,FALSE)),IF(ISNA(VLOOKUP(Department,MathDept,1,FALSE)),IF(ISNA(VLOOKUP(Department,ENV,1,FALSE)),IF(ISNA(VLOOKUP(Department,Eng,1,FALSE)),IF(ISNA(VLOOKUP(Department,HEALTH,1,FALSE)),IF(ISNA(VLOOKUP(Department,MISC,1,FALSE)),"ERROR","MISC"),"HEALTH"),"ENG"),"ENV"),"MATH"),"ARTS"),"SCI")))</f>
        <v xml:space="preserve"> </v>
      </c>
      <c r="B99" s="32"/>
      <c r="C99" s="35"/>
      <c r="D99" s="37"/>
      <c r="E99" s="40"/>
      <c r="G99" s="18" t="str">
        <f t="shared" si="4"/>
        <v xml:space="preserve"> </v>
      </c>
      <c r="H99" s="22" t="str">
        <f t="shared" si="5"/>
        <v xml:space="preserve"> </v>
      </c>
    </row>
    <row r="100" spans="1:8" x14ac:dyDescent="0.3">
      <c r="B100" s="32"/>
      <c r="C100" s="35"/>
      <c r="D100" s="37"/>
      <c r="E100" s="40"/>
    </row>
  </sheetData>
  <mergeCells count="13">
    <mergeCell ref="I1:K1"/>
    <mergeCell ref="I4:N5"/>
    <mergeCell ref="I6:N7"/>
    <mergeCell ref="I8:N9"/>
    <mergeCell ref="I12:N13"/>
    <mergeCell ref="I10:N11"/>
    <mergeCell ref="I2:N3"/>
    <mergeCell ref="I42:M46"/>
    <mergeCell ref="I14:N15"/>
    <mergeCell ref="J18:N18"/>
    <mergeCell ref="J19:N19"/>
    <mergeCell ref="K33:N33"/>
    <mergeCell ref="I16:N17"/>
  </mergeCells>
  <conditionalFormatting sqref="J32">
    <cfRule type="cellIs" dxfId="90" priority="34" operator="between">
      <formula>SCIMax/2</formula>
      <formula>SCIMax</formula>
    </cfRule>
    <cfRule type="cellIs" dxfId="89" priority="75" operator="lessThan">
      <formula>SCIMax/2</formula>
    </cfRule>
    <cfRule type="cellIs" dxfId="88" priority="76" operator="greaterThan">
      <formula>SCIMax</formula>
    </cfRule>
  </conditionalFormatting>
  <conditionalFormatting sqref="J31">
    <cfRule type="cellIs" dxfId="87" priority="35" operator="between">
      <formula>FailMax/2</formula>
      <formula>FailMax</formula>
    </cfRule>
    <cfRule type="cellIs" dxfId="86" priority="72" operator="lessThanOrEqual">
      <formula>FailMax/2</formula>
    </cfRule>
    <cfRule type="cellIs" dxfId="85" priority="73" operator="greaterThan">
      <formula>FailMax</formula>
    </cfRule>
  </conditionalFormatting>
  <conditionalFormatting sqref="J28">
    <cfRule type="cellIs" dxfId="84" priority="68" operator="lessThan">
      <formula>ThreeHunMin</formula>
    </cfRule>
    <cfRule type="cellIs" dxfId="83" priority="69" operator="greaterThanOrEqual">
      <formula>ThreeHunMin</formula>
    </cfRule>
  </conditionalFormatting>
  <conditionalFormatting sqref="J27">
    <cfRule type="cellIs" dxfId="82" priority="66" operator="lessThan">
      <formula>8</formula>
    </cfRule>
    <cfRule type="cellIs" dxfId="81" priority="67" operator="greaterThanOrEqual">
      <formula>8</formula>
    </cfRule>
  </conditionalFormatting>
  <conditionalFormatting sqref="J26">
    <cfRule type="cellIs" dxfId="80" priority="64" operator="lessThan">
      <formula>ScienceMin</formula>
    </cfRule>
    <cfRule type="cellIs" dxfId="79" priority="65" operator="greaterThanOrEqual">
      <formula>ScienceMin</formula>
    </cfRule>
  </conditionalFormatting>
  <conditionalFormatting sqref="J25">
    <cfRule type="cellIs" dxfId="78" priority="62" operator="lessThan">
      <formula>LECMin</formula>
    </cfRule>
    <cfRule type="cellIs" dxfId="77" priority="63" operator="greaterThanOrEqual">
      <formula>LECMin</formula>
    </cfRule>
  </conditionalFormatting>
  <conditionalFormatting sqref="J24">
    <cfRule type="cellIs" dxfId="76" priority="60" operator="lessThan">
      <formula>TotalMin</formula>
    </cfRule>
    <cfRule type="cellIs" dxfId="75" priority="61" operator="greaterThanOrEqual">
      <formula>TotalMin</formula>
    </cfRule>
  </conditionalFormatting>
  <conditionalFormatting sqref="J34">
    <cfRule type="cellIs" dxfId="74" priority="53" operator="equal">
      <formula>"Chemistry"</formula>
    </cfRule>
    <cfRule type="cellIs" dxfId="73" priority="55" operator="equal">
      <formula>"CHEM"</formula>
    </cfRule>
  </conditionalFormatting>
  <conditionalFormatting sqref="K34">
    <cfRule type="cellIs" dxfId="72" priority="51" operator="equal">
      <formula>"Earth Science"</formula>
    </cfRule>
    <cfRule type="cellIs" dxfId="71" priority="52" operator="equal">
      <formula>"EARTH"</formula>
    </cfRule>
  </conditionalFormatting>
  <conditionalFormatting sqref="L34">
    <cfRule type="cellIs" dxfId="70" priority="49" operator="equal">
      <formula>"Physics"</formula>
    </cfRule>
    <cfRule type="cellIs" dxfId="69" priority="50" operator="equal">
      <formula>"PHYS"</formula>
    </cfRule>
  </conditionalFormatting>
  <conditionalFormatting sqref="M34">
    <cfRule type="cellIs" dxfId="68" priority="47" operator="equal">
      <formula>"Biology"</formula>
    </cfRule>
    <cfRule type="cellIs" dxfId="67" priority="48" operator="equal">
      <formula>"BIOL"</formula>
    </cfRule>
  </conditionalFormatting>
  <conditionalFormatting sqref="J29">
    <cfRule type="cellIs" dxfId="66" priority="36" operator="lessThan">
      <formula>MathMin</formula>
    </cfRule>
    <cfRule type="cellIs" dxfId="65" priority="43" operator="greaterThanOrEqual">
      <formula>MathMin</formula>
    </cfRule>
  </conditionalFormatting>
  <conditionalFormatting sqref="J30">
    <cfRule type="cellIs" dxfId="64" priority="37" operator="greaterThan">
      <formula>LabsMax</formula>
    </cfRule>
    <cfRule type="cellIs" dxfId="63" priority="40" operator="lessThanOrEqual">
      <formula>LabsMax</formula>
    </cfRule>
  </conditionalFormatting>
  <conditionalFormatting sqref="J20:J21">
    <cfRule type="cellIs" dxfId="62" priority="32" operator="lessThan">
      <formula>SciAvg</formula>
    </cfRule>
    <cfRule type="cellIs" dxfId="61" priority="33" operator="greaterThanOrEqual">
      <formula>SciAvg</formula>
    </cfRule>
  </conditionalFormatting>
  <conditionalFormatting sqref="E1:E34 E36:E1048576">
    <cfRule type="cellIs" dxfId="60" priority="22" operator="equal">
      <formula>"NMR"</formula>
    </cfRule>
    <cfRule type="cellIs" dxfId="59" priority="24" operator="equal">
      <formula>"WF"</formula>
    </cfRule>
    <cfRule type="cellIs" dxfId="58" priority="25" operator="equal">
      <formula>"INC"</formula>
    </cfRule>
    <cfRule type="cellIs" dxfId="57" priority="26" operator="equal">
      <formula>"FTC"</formula>
    </cfRule>
    <cfRule type="cellIs" dxfId="56" priority="27" operator="equal">
      <formula>"DNW"</formula>
    </cfRule>
    <cfRule type="cellIs" dxfId="55" priority="29" operator="lessThan">
      <formula>50</formula>
    </cfRule>
  </conditionalFormatting>
  <conditionalFormatting sqref="E4:E34 E36:E64">
    <cfRule type="cellIs" dxfId="54" priority="23" operator="lessThan">
      <formula>50</formula>
    </cfRule>
  </conditionalFormatting>
  <conditionalFormatting sqref="B1:B34 B36:B1048576">
    <cfRule type="containsText" dxfId="53" priority="18" operator="containsText" text=" ">
      <formula>NOT(ISERROR(SEARCH(" ",B1)))</formula>
    </cfRule>
  </conditionalFormatting>
  <conditionalFormatting sqref="D1:D34 D36:D1048576">
    <cfRule type="cellIs" dxfId="52" priority="16" operator="equal">
      <formula>0.5</formula>
    </cfRule>
    <cfRule type="cellIs" dxfId="51" priority="17" operator="equal">
      <formula>0.25</formula>
    </cfRule>
  </conditionalFormatting>
  <conditionalFormatting sqref="D3">
    <cfRule type="expression" dxfId="50" priority="15">
      <formula>isnumber</formula>
    </cfRule>
  </conditionalFormatting>
  <conditionalFormatting sqref="D4:D34 D36:D50">
    <cfRule type="expression" dxfId="49" priority="14">
      <formula>isnumber</formula>
    </cfRule>
  </conditionalFormatting>
  <conditionalFormatting sqref="E35:E39">
    <cfRule type="cellIs" dxfId="48" priority="7" operator="equal">
      <formula>"NMR"</formula>
    </cfRule>
    <cfRule type="cellIs" dxfId="47" priority="9" operator="equal">
      <formula>"WF"</formula>
    </cfRule>
    <cfRule type="cellIs" dxfId="46" priority="10" operator="equal">
      <formula>"INC"</formula>
    </cfRule>
    <cfRule type="cellIs" dxfId="45" priority="11" operator="equal">
      <formula>"FTC"</formula>
    </cfRule>
    <cfRule type="cellIs" dxfId="44" priority="12" operator="equal">
      <formula>"DNW"</formula>
    </cfRule>
    <cfRule type="cellIs" dxfId="43" priority="13" operator="lessThan">
      <formula>50</formula>
    </cfRule>
  </conditionalFormatting>
  <conditionalFormatting sqref="E35:E39">
    <cfRule type="cellIs" dxfId="42" priority="8" operator="lessThan">
      <formula>50</formula>
    </cfRule>
  </conditionalFormatting>
  <conditionalFormatting sqref="B35:B39">
    <cfRule type="containsText" dxfId="41" priority="6" operator="containsText" text=" ">
      <formula>NOT(ISERROR(SEARCH(" ",B35)))</formula>
    </cfRule>
  </conditionalFormatting>
  <conditionalFormatting sqref="D35:D39">
    <cfRule type="cellIs" dxfId="40" priority="4" operator="equal">
      <formula>0.5</formula>
    </cfRule>
    <cfRule type="cellIs" dxfId="39" priority="5" operator="equal">
      <formula>0.25</formula>
    </cfRule>
  </conditionalFormatting>
  <conditionalFormatting sqref="D35:D39">
    <cfRule type="expression" dxfId="38" priority="3">
      <formula>isnumber</formula>
    </cfRule>
  </conditionalFormatting>
  <conditionalFormatting sqref="J33">
    <cfRule type="cellIs" dxfId="37" priority="1" operator="equal">
      <formula>"Comm req unmet"</formula>
    </cfRule>
    <cfRule type="cellIs" dxfId="36" priority="2" operator="equal">
      <formula>"Comm req met"</formula>
    </cfRule>
  </conditionalFormatting>
  <dataValidations count="4">
    <dataValidation type="list" allowBlank="1" showInputMessage="1" showErrorMessage="1" sqref="M35:M36" xr:uid="{00000000-0002-0000-0000-000000000000}">
      <formula1>BIOLlist</formula1>
    </dataValidation>
    <dataValidation type="list" allowBlank="1" showInputMessage="1" showErrorMessage="1" sqref="A100:A1048576" xr:uid="{00000000-0002-0000-0000-000001000000}">
      <formula1>FacultyDropList</formula1>
    </dataValidation>
    <dataValidation type="list" allowBlank="1" showInputMessage="1" showErrorMessage="1" sqref="B101:B1048576" xr:uid="{00000000-0002-0000-0000-000002000000}">
      <formula1>AllDept</formula1>
    </dataValidation>
    <dataValidation type="whole" allowBlank="1" showErrorMessage="1" promptTitle="numbers only" sqref="C3:C99" xr:uid="{00000000-0002-0000-0000-000003000000}">
      <formula1>0</formula1>
      <formula2>800</formula2>
    </dataValidation>
  </dataValidations>
  <hyperlinks>
    <hyperlink ref="K33:N33" r:id="rId1" display="Science English Language Proficiency Requirement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Constants!$C$2:$C$10</xm:f>
          </x14:formula1>
          <xm:sqref>D3:D63</xm:sqref>
        </x14:dataValidation>
        <x14:dataValidation type="list" allowBlank="1" showInputMessage="1" showErrorMessage="1" xr:uid="{45B5FDC7-001C-4CA4-8D4A-46838B108B26}">
          <x14:formula1>
            <xm:f>Constants!$E$3:$E$127</xm:f>
          </x14:formula1>
          <xm:sqref>B3:B100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9"/>
  <sheetViews>
    <sheetView topLeftCell="A4" workbookViewId="0">
      <selection activeCell="D21" sqref="D21"/>
    </sheetView>
  </sheetViews>
  <sheetFormatPr defaultColWidth="8.88671875" defaultRowHeight="14.4" x14ac:dyDescent="0.3"/>
  <cols>
    <col min="1" max="1" width="22" bestFit="1" customWidth="1"/>
    <col min="2" max="2" width="19.109375" bestFit="1" customWidth="1"/>
    <col min="3" max="3" width="18" bestFit="1" customWidth="1"/>
    <col min="4" max="4" width="12.44140625" customWidth="1"/>
    <col min="5" max="5" width="10" customWidth="1"/>
    <col min="6" max="6" width="0.109375" customWidth="1"/>
  </cols>
  <sheetData>
    <row r="1" spans="1:6" x14ac:dyDescent="0.3">
      <c r="A1" s="53" t="s">
        <v>158</v>
      </c>
      <c r="B1" s="54"/>
      <c r="C1" s="54"/>
      <c r="D1" s="1"/>
      <c r="E1" s="1"/>
      <c r="F1" s="1"/>
    </row>
    <row r="2" spans="1:6" ht="15" customHeight="1" x14ac:dyDescent="0.3">
      <c r="A2" s="44" t="s">
        <v>146</v>
      </c>
      <c r="B2" s="45"/>
      <c r="C2" s="45"/>
      <c r="D2" s="45"/>
      <c r="E2" s="45"/>
      <c r="F2" s="46"/>
    </row>
    <row r="3" spans="1:6" x14ac:dyDescent="0.3">
      <c r="A3" s="55"/>
      <c r="B3" s="56"/>
      <c r="C3" s="56"/>
      <c r="D3" s="56"/>
      <c r="E3" s="56"/>
      <c r="F3" s="57"/>
    </row>
    <row r="4" spans="1:6" ht="15" customHeight="1" x14ac:dyDescent="0.3">
      <c r="A4" s="71" t="s">
        <v>217</v>
      </c>
      <c r="B4" s="72"/>
      <c r="C4" s="72"/>
      <c r="D4" s="72"/>
      <c r="E4" s="72"/>
      <c r="F4" s="73"/>
    </row>
    <row r="5" spans="1:6" x14ac:dyDescent="0.3">
      <c r="A5" s="74"/>
      <c r="B5" s="75"/>
      <c r="C5" s="75"/>
      <c r="D5" s="75"/>
      <c r="E5" s="75"/>
      <c r="F5" s="76"/>
    </row>
    <row r="6" spans="1:6" ht="15" customHeight="1" x14ac:dyDescent="0.3">
      <c r="A6" s="58" t="s">
        <v>134</v>
      </c>
      <c r="B6" s="59"/>
      <c r="C6" s="59"/>
      <c r="D6" s="59"/>
      <c r="E6" s="59"/>
      <c r="F6" s="60"/>
    </row>
    <row r="7" spans="1:6" x14ac:dyDescent="0.3">
      <c r="A7" s="61"/>
      <c r="B7" s="59"/>
      <c r="C7" s="59"/>
      <c r="D7" s="59"/>
      <c r="E7" s="59"/>
      <c r="F7" s="60"/>
    </row>
    <row r="8" spans="1:6" ht="15" customHeight="1" x14ac:dyDescent="0.3">
      <c r="A8" s="62" t="s">
        <v>172</v>
      </c>
      <c r="B8" s="63"/>
      <c r="C8" s="63"/>
      <c r="D8" s="63"/>
      <c r="E8" s="63"/>
      <c r="F8" s="64"/>
    </row>
    <row r="9" spans="1:6" x14ac:dyDescent="0.3">
      <c r="A9" s="65"/>
      <c r="B9" s="66"/>
      <c r="C9" s="66"/>
      <c r="D9" s="66"/>
      <c r="E9" s="66"/>
      <c r="F9" s="67"/>
    </row>
    <row r="10" spans="1:6" x14ac:dyDescent="0.3">
      <c r="A10" s="44" t="s">
        <v>173</v>
      </c>
      <c r="B10" s="45"/>
      <c r="C10" s="45"/>
      <c r="D10" s="45"/>
      <c r="E10" s="45"/>
      <c r="F10" s="46"/>
    </row>
    <row r="11" spans="1:6" x14ac:dyDescent="0.3">
      <c r="A11" s="44"/>
      <c r="B11" s="45"/>
      <c r="C11" s="45"/>
      <c r="D11" s="45"/>
      <c r="E11" s="45"/>
      <c r="F11" s="46"/>
    </row>
    <row r="12" spans="1:6" ht="15" customHeight="1" x14ac:dyDescent="0.3">
      <c r="A12" s="68" t="s">
        <v>163</v>
      </c>
      <c r="B12" s="69"/>
      <c r="C12" s="69"/>
      <c r="D12" s="69"/>
      <c r="E12" s="69"/>
      <c r="F12" s="70"/>
    </row>
    <row r="13" spans="1:6" x14ac:dyDescent="0.3">
      <c r="A13" s="68"/>
      <c r="B13" s="69"/>
      <c r="C13" s="69"/>
      <c r="D13" s="69"/>
      <c r="E13" s="69"/>
      <c r="F13" s="70"/>
    </row>
    <row r="14" spans="1:6" x14ac:dyDescent="0.3">
      <c r="A14" s="44" t="s">
        <v>138</v>
      </c>
      <c r="B14" s="45"/>
      <c r="C14" s="45"/>
      <c r="D14" s="45"/>
      <c r="E14" s="45"/>
      <c r="F14" s="46"/>
    </row>
    <row r="15" spans="1:6" x14ac:dyDescent="0.3">
      <c r="A15" s="44"/>
      <c r="B15" s="45"/>
      <c r="C15" s="45"/>
      <c r="D15" s="45"/>
      <c r="E15" s="45"/>
      <c r="F15" s="46"/>
    </row>
    <row r="16" spans="1:6" x14ac:dyDescent="0.3">
      <c r="A16" s="1"/>
      <c r="B16" s="47" t="s">
        <v>160</v>
      </c>
      <c r="C16" s="47"/>
      <c r="D16" s="47"/>
      <c r="E16" s="47"/>
      <c r="F16" s="47"/>
    </row>
    <row r="17" spans="1:6" ht="15" thickBot="1" x14ac:dyDescent="0.35">
      <c r="A17" s="8" t="s">
        <v>24</v>
      </c>
      <c r="B17" s="48" t="s">
        <v>140</v>
      </c>
      <c r="C17" s="48"/>
      <c r="D17" s="48"/>
      <c r="E17" s="48"/>
      <c r="F17" s="48"/>
    </row>
    <row r="18" spans="1:6" x14ac:dyDescent="0.3">
      <c r="A18" s="7" t="s">
        <v>12</v>
      </c>
      <c r="B18" s="6">
        <f>Interface!J20</f>
        <v>0</v>
      </c>
      <c r="C18" s="1"/>
      <c r="D18" s="1"/>
      <c r="E18" s="1"/>
      <c r="F18" s="1"/>
    </row>
    <row r="19" spans="1:6" x14ac:dyDescent="0.3">
      <c r="A19" s="7" t="s">
        <v>14</v>
      </c>
      <c r="B19" s="6">
        <f>Interface!J21</f>
        <v>0</v>
      </c>
      <c r="C19" s="1"/>
      <c r="D19" s="1"/>
      <c r="E19" s="1"/>
      <c r="F19" s="1"/>
    </row>
    <row r="20" spans="1:6" x14ac:dyDescent="0.3">
      <c r="B20" s="1"/>
      <c r="C20" s="1"/>
      <c r="D20" s="1"/>
      <c r="E20" s="1"/>
      <c r="F20" s="1"/>
    </row>
    <row r="21" spans="1:6" ht="15" thickBot="1" x14ac:dyDescent="0.35">
      <c r="A21" s="8" t="s">
        <v>141</v>
      </c>
      <c r="B21" s="2" t="s">
        <v>129</v>
      </c>
      <c r="C21" s="2" t="s">
        <v>137</v>
      </c>
      <c r="D21" s="3"/>
      <c r="E21" s="3"/>
      <c r="F21" s="1"/>
    </row>
    <row r="22" spans="1:6" x14ac:dyDescent="0.3">
      <c r="A22" s="7" t="s">
        <v>25</v>
      </c>
      <c r="B22" s="7">
        <f>Total_Units</f>
        <v>0</v>
      </c>
      <c r="C22" s="12">
        <f>IF(TotalMin-Total_Units&lt;0,0,TotalMin-Total_Units)</f>
        <v>21</v>
      </c>
      <c r="D22" s="3"/>
      <c r="E22" s="3"/>
      <c r="F22" s="1"/>
    </row>
    <row r="23" spans="1:6" x14ac:dyDescent="0.3">
      <c r="A23" s="7" t="s">
        <v>9</v>
      </c>
      <c r="B23" s="7">
        <f>LEC_Units</f>
        <v>0</v>
      </c>
      <c r="C23" s="12">
        <f>IF(LECMin-LEC_Units&lt;0,0,LECMin-LEC_Units)</f>
        <v>19</v>
      </c>
      <c r="D23" s="3"/>
      <c r="E23" s="3"/>
      <c r="F23" s="1"/>
    </row>
    <row r="24" spans="1:6" x14ac:dyDescent="0.3">
      <c r="A24" s="7" t="s">
        <v>142</v>
      </c>
      <c r="B24" s="7">
        <f>SCI_Units</f>
        <v>0</v>
      </c>
      <c r="C24" s="12">
        <f>IF(ScienceMin-SCI_Units&lt;0,0,ScienceMin-SCI_Units)</f>
        <v>12</v>
      </c>
      <c r="D24" s="3"/>
      <c r="E24" s="3"/>
      <c r="F24" s="1"/>
    </row>
    <row r="25" spans="1:6" x14ac:dyDescent="0.3">
      <c r="A25" s="7" t="s">
        <v>143</v>
      </c>
      <c r="B25" s="7">
        <f>TwoHun_Units</f>
        <v>0</v>
      </c>
      <c r="C25" s="12">
        <f>IF(TwoHunMin-TwoHun_Units&lt;0,0,TwoHunMin-TwoHun_Units)</f>
        <v>8</v>
      </c>
      <c r="D25" s="3"/>
      <c r="E25" s="3"/>
      <c r="F25" s="1"/>
    </row>
    <row r="26" spans="1:6" x14ac:dyDescent="0.3">
      <c r="A26" s="7" t="s">
        <v>144</v>
      </c>
      <c r="B26" s="7">
        <f>ThreeHun_Units</f>
        <v>0</v>
      </c>
      <c r="C26" s="12">
        <f>IF(ThreeHunMin-ThreeHun_Units&lt;0,0,ThreeHunMin-ThreeHun_Units)</f>
        <v>4</v>
      </c>
      <c r="D26" s="3"/>
      <c r="E26" s="3"/>
      <c r="F26" s="1"/>
    </row>
    <row r="27" spans="1:6" x14ac:dyDescent="0.3">
      <c r="A27" s="7" t="s">
        <v>26</v>
      </c>
      <c r="B27" s="7">
        <f>SUMIFS(Course_Weight,Faculty,"MATH",Course_Mark,"&gt;=50")+SUMIFS(Course_Weight,Faculty,"MATH",Course_Mark,"CR")-SUMIFS(Course_Weight,Faculty,"MATH",Department,"COMM",Course_Type,"LEC",Course_Mark,"&gt;=50")-SUMIFS(Course_Weight,Faculty,"MATH",Department,"COMM",Course_Type,"LEC",Course_Mark,"CR")-SUMIFS(Course_Weight,Faculty,"MATH", Department,"MTHEL",Course_Type,"LEC",Course_Mark,"&gt;=50")-SUMIFS(Course_Weight,Faculty,"MATH",Department,"MTHEL",Course_Type,"LEC",Course_Mark,"CR")</f>
        <v>0</v>
      </c>
      <c r="C27" s="12">
        <f>IF(MathMin-Math_Units&lt;0,0,MathMin-Math_Units)</f>
        <v>1</v>
      </c>
      <c r="D27" s="3"/>
      <c r="E27" s="3"/>
      <c r="F27" s="1"/>
    </row>
    <row r="28" spans="1:6" x14ac:dyDescent="0.3">
      <c r="A28" s="7" t="s">
        <v>180</v>
      </c>
      <c r="B28" s="7">
        <f>LabUnits</f>
        <v>0</v>
      </c>
      <c r="C28" s="12" t="str">
        <f>CONCATENATE(IF(LabUnits-LabsMax&lt;0,0,LabUnits-LabsMax)," units excluded")</f>
        <v>0 units excluded</v>
      </c>
      <c r="D28" s="3"/>
      <c r="E28" s="3"/>
      <c r="F28" s="1"/>
    </row>
    <row r="29" spans="1:6" x14ac:dyDescent="0.3">
      <c r="A29" s="7" t="s">
        <v>27</v>
      </c>
      <c r="B29" s="7">
        <f>Failed_Units</f>
        <v>0</v>
      </c>
      <c r="C29" s="26" t="str">
        <f>CONCATENATE(IF(FailMax-Failed_Units&lt;0,"0",FailMax-Failed_Units)," failures allowed")</f>
        <v>5 failures allowed</v>
      </c>
      <c r="D29" s="3"/>
      <c r="E29" s="3"/>
      <c r="F29" s="1"/>
    </row>
    <row r="30" spans="1:6" x14ac:dyDescent="0.3">
      <c r="A30" s="7" t="s">
        <v>28</v>
      </c>
      <c r="B30" s="7">
        <f>SCI_Label</f>
        <v>0</v>
      </c>
      <c r="C30" s="12" t="str">
        <f>CONCATENATE(IF(SCIMax-SCI_Label&lt;0,"0",SCIMax-SCI_Label)," SCI Units allowed")</f>
        <v>3 SCI Units allowed</v>
      </c>
      <c r="D30" s="3"/>
      <c r="E30" s="3"/>
      <c r="F30" s="1"/>
    </row>
    <row r="31" spans="1:6" x14ac:dyDescent="0.3">
      <c r="A31" s="7" t="s">
        <v>145</v>
      </c>
      <c r="B31" s="7" t="str">
        <f>Interface!J33</f>
        <v>Comm req unmet</v>
      </c>
      <c r="C31" s="3"/>
      <c r="D31" s="3"/>
      <c r="E31" s="3"/>
      <c r="F31" s="3"/>
    </row>
    <row r="32" spans="1:6" ht="15" thickBot="1" x14ac:dyDescent="0.35">
      <c r="A32" s="7" t="s">
        <v>127</v>
      </c>
      <c r="B32" s="8" t="str">
        <f>Year1Chem?</f>
        <v>CHEM</v>
      </c>
      <c r="C32" s="8" t="str">
        <f>Year1Earth?</f>
        <v>EARTH</v>
      </c>
      <c r="D32" s="8" t="str">
        <f>Year1Phys?</f>
        <v>PHYS</v>
      </c>
      <c r="E32" s="8" t="str">
        <f>Year1Bio?</f>
        <v>BIOL</v>
      </c>
      <c r="F32" s="1"/>
    </row>
    <row r="33" spans="1:6" x14ac:dyDescent="0.3">
      <c r="A33" s="3"/>
      <c r="B33" s="3"/>
      <c r="C33" s="3"/>
      <c r="D33" s="4" t="s">
        <v>136</v>
      </c>
      <c r="E33" s="27" t="str">
        <f>IF(FYBIOL1=0," ",FYBIOL1)</f>
        <v xml:space="preserve"> </v>
      </c>
      <c r="F33" s="1"/>
    </row>
    <row r="34" spans="1:6" x14ac:dyDescent="0.3">
      <c r="A34" s="3"/>
      <c r="B34" s="1"/>
      <c r="C34" s="1"/>
      <c r="D34" s="4" t="s">
        <v>136</v>
      </c>
      <c r="E34" s="27" t="str">
        <f>IF(FYBIOL2=0," ",FYBIOL2)</f>
        <v xml:space="preserve"> </v>
      </c>
      <c r="F34" s="1"/>
    </row>
    <row r="35" spans="1:6" x14ac:dyDescent="0.3">
      <c r="A35" s="1"/>
      <c r="B35" s="13" t="s">
        <v>156</v>
      </c>
      <c r="C35" s="88" t="str">
        <f>IF(Interface!K37=0,"Enter details before printing",Interface!K37)</f>
        <v>Enter details before printing</v>
      </c>
      <c r="D35" s="88"/>
      <c r="E35" s="1"/>
      <c r="F35" s="1"/>
    </row>
    <row r="36" spans="1:6" x14ac:dyDescent="0.3">
      <c r="A36" s="1"/>
      <c r="B36" s="13" t="s">
        <v>157</v>
      </c>
      <c r="C36" s="88" t="str">
        <f>IF(Interface!K38=0,"Enter details before printing",Interface!K38)</f>
        <v>Enter details before printing</v>
      </c>
      <c r="D36" s="88"/>
      <c r="E36" s="1"/>
      <c r="F36" s="1"/>
    </row>
    <row r="37" spans="1:6" x14ac:dyDescent="0.3">
      <c r="A37" s="1"/>
      <c r="B37" s="13" t="s">
        <v>159</v>
      </c>
      <c r="C37" s="86" t="str">
        <f>IF(Interface!K39=0,"Enter details before printing",Interface!K39)</f>
        <v>Enter details before printing</v>
      </c>
      <c r="D37" s="86"/>
      <c r="E37" s="1"/>
      <c r="F37" s="1"/>
    </row>
    <row r="38" spans="1:6" x14ac:dyDescent="0.3">
      <c r="A38" s="1"/>
      <c r="B38" s="13" t="s">
        <v>154</v>
      </c>
      <c r="C38" s="87" t="str">
        <f>IF(Interface!K40=0,"Enter details before printing",Interface!K40)</f>
        <v>Enter details before printing</v>
      </c>
      <c r="D38" s="87"/>
      <c r="E38" s="1"/>
      <c r="F38" s="1"/>
    </row>
    <row r="39" spans="1:6" x14ac:dyDescent="0.3">
      <c r="A39" s="1"/>
      <c r="B39" s="13" t="s">
        <v>155</v>
      </c>
      <c r="C39" s="87" t="str">
        <f>IF(Interface!K41=0,"Enter details before printing",Interface!K41)</f>
        <v>Enter details before printing</v>
      </c>
      <c r="D39" s="87"/>
      <c r="E39" s="1"/>
      <c r="F39" s="1"/>
    </row>
    <row r="40" spans="1:6" x14ac:dyDescent="0.3">
      <c r="A40" s="77" t="str">
        <f>IF(Interface!I42=0," ",Interface!I42)</f>
        <v>Using 2018-</v>
      </c>
      <c r="B40" s="78"/>
      <c r="C40" s="78"/>
      <c r="D40" s="78"/>
      <c r="E40" s="79"/>
    </row>
    <row r="41" spans="1:6" x14ac:dyDescent="0.3">
      <c r="A41" s="80"/>
      <c r="B41" s="81"/>
      <c r="C41" s="81"/>
      <c r="D41" s="81"/>
      <c r="E41" s="82"/>
    </row>
    <row r="42" spans="1:6" x14ac:dyDescent="0.3">
      <c r="A42" s="80"/>
      <c r="B42" s="81"/>
      <c r="C42" s="81"/>
      <c r="D42" s="81"/>
      <c r="E42" s="82"/>
    </row>
    <row r="43" spans="1:6" x14ac:dyDescent="0.3">
      <c r="A43" s="80"/>
      <c r="B43" s="81"/>
      <c r="C43" s="81"/>
      <c r="D43" s="81"/>
      <c r="E43" s="82"/>
    </row>
    <row r="44" spans="1:6" x14ac:dyDescent="0.3">
      <c r="A44" s="83"/>
      <c r="B44" s="84"/>
      <c r="C44" s="84"/>
      <c r="D44" s="84"/>
      <c r="E44" s="85"/>
    </row>
    <row r="47" spans="1:6" ht="18" thickBot="1" x14ac:dyDescent="0.4">
      <c r="A47" s="14" t="s">
        <v>139</v>
      </c>
      <c r="B47" s="9" t="s">
        <v>0</v>
      </c>
      <c r="C47" s="14" t="s">
        <v>1</v>
      </c>
      <c r="D47" s="9" t="s">
        <v>2</v>
      </c>
      <c r="E47" s="21" t="s">
        <v>162</v>
      </c>
    </row>
    <row r="48" spans="1:6" ht="15" thickTop="1" x14ac:dyDescent="0.3">
      <c r="A48" s="28" t="str">
        <f>IF(Interface!B3=0," ",Interface!B3)</f>
        <v xml:space="preserve"> </v>
      </c>
      <c r="B48" s="28" t="str">
        <f>IF(Interface!C3=0," ",Interface!C3)</f>
        <v xml:space="preserve"> </v>
      </c>
      <c r="C48" s="28" t="str">
        <f>IF(Interface!D3=0," ",Interface!D3)</f>
        <v xml:space="preserve"> </v>
      </c>
      <c r="D48" s="28" t="str">
        <f>IF(Interface!E3=0," ",Interface!E3)</f>
        <v xml:space="preserve"> </v>
      </c>
      <c r="E48" s="28" t="str">
        <f>IF(Interface!F3=0," ",Interface!F3)</f>
        <v xml:space="preserve"> </v>
      </c>
      <c r="F48" s="28" t="str">
        <f>IF(Interface!G3=0," ",Interface!G3)</f>
        <v xml:space="preserve"> </v>
      </c>
    </row>
    <row r="49" spans="1:5" x14ac:dyDescent="0.3">
      <c r="A49" s="28" t="str">
        <f>IF(Interface!B4=0," ",Interface!B4)</f>
        <v xml:space="preserve"> </v>
      </c>
      <c r="B49" s="28" t="str">
        <f>IF(Interface!C4=0," ",Interface!C4)</f>
        <v xml:space="preserve"> </v>
      </c>
      <c r="C49" s="28" t="str">
        <f>IF(Interface!D4=0," ",Interface!D4)</f>
        <v xml:space="preserve"> </v>
      </c>
      <c r="D49" s="28" t="str">
        <f>IF(Interface!E4=0," ",Interface!E4)</f>
        <v xml:space="preserve"> </v>
      </c>
      <c r="E49" s="28" t="str">
        <f>IF(Interface!F4=0," ",Interface!F4)</f>
        <v xml:space="preserve"> </v>
      </c>
    </row>
    <row r="50" spans="1:5" x14ac:dyDescent="0.3">
      <c r="A50" s="28" t="str">
        <f>IF(Interface!B5=0," ",Interface!B5)</f>
        <v xml:space="preserve"> </v>
      </c>
      <c r="B50" s="28" t="str">
        <f>IF(Interface!C5=0," ",Interface!C5)</f>
        <v xml:space="preserve"> </v>
      </c>
      <c r="C50" s="28" t="str">
        <f>IF(Interface!D5=0," ",Interface!D5)</f>
        <v xml:space="preserve"> </v>
      </c>
      <c r="D50" s="28" t="str">
        <f>IF(Interface!E5=0," ",Interface!E5)</f>
        <v xml:space="preserve"> </v>
      </c>
      <c r="E50" s="28" t="str">
        <f>IF(Interface!F5=0," ",Interface!F5)</f>
        <v xml:space="preserve"> </v>
      </c>
    </row>
    <row r="51" spans="1:5" x14ac:dyDescent="0.3">
      <c r="A51" s="28" t="str">
        <f>IF(Interface!B6=0," ",Interface!B6)</f>
        <v xml:space="preserve"> </v>
      </c>
      <c r="B51" s="28" t="str">
        <f>IF(Interface!C6=0," ",Interface!C6)</f>
        <v xml:space="preserve"> </v>
      </c>
      <c r="C51" s="28" t="str">
        <f>IF(Interface!D6=0," ",Interface!D6)</f>
        <v xml:space="preserve"> </v>
      </c>
      <c r="D51" s="28" t="str">
        <f>IF(Interface!E6=0," ",Interface!E6)</f>
        <v xml:space="preserve"> </v>
      </c>
      <c r="E51" s="28" t="str">
        <f>IF(Interface!F6=0," ",Interface!F6)</f>
        <v xml:space="preserve"> </v>
      </c>
    </row>
    <row r="52" spans="1:5" x14ac:dyDescent="0.3">
      <c r="A52" s="28" t="str">
        <f>IF(Interface!B7=0," ",Interface!B7)</f>
        <v xml:space="preserve"> </v>
      </c>
      <c r="B52" s="28" t="str">
        <f>IF(Interface!C7=0," ",Interface!C7)</f>
        <v xml:space="preserve"> </v>
      </c>
      <c r="C52" s="28" t="str">
        <f>IF(Interface!D7=0," ",Interface!D7)</f>
        <v xml:space="preserve"> </v>
      </c>
      <c r="D52" s="28" t="str">
        <f>IF(Interface!E7=0," ",Interface!E7)</f>
        <v xml:space="preserve"> </v>
      </c>
      <c r="E52" s="28" t="str">
        <f>IF(Interface!F7=0," ",Interface!F7)</f>
        <v xml:space="preserve"> </v>
      </c>
    </row>
    <row r="53" spans="1:5" x14ac:dyDescent="0.3">
      <c r="A53" s="28" t="str">
        <f>IF(Interface!B8=0," ",Interface!B8)</f>
        <v xml:space="preserve"> </v>
      </c>
      <c r="B53" s="28" t="str">
        <f>IF(Interface!C8=0," ",Interface!C8)</f>
        <v xml:space="preserve"> </v>
      </c>
      <c r="C53" s="28" t="str">
        <f>IF(Interface!D8=0," ",Interface!D8)</f>
        <v xml:space="preserve"> </v>
      </c>
      <c r="D53" s="28" t="str">
        <f>IF(Interface!E8=0," ",Interface!E8)</f>
        <v xml:space="preserve"> </v>
      </c>
      <c r="E53" s="28" t="str">
        <f>IF(Interface!F8=0," ",Interface!F8)</f>
        <v xml:space="preserve"> </v>
      </c>
    </row>
    <row r="54" spans="1:5" x14ac:dyDescent="0.3">
      <c r="A54" s="28" t="str">
        <f>IF(Interface!B9=0," ",Interface!B9)</f>
        <v xml:space="preserve"> </v>
      </c>
      <c r="B54" s="28" t="str">
        <f>IF(Interface!C9=0," ",Interface!C9)</f>
        <v xml:space="preserve"> </v>
      </c>
      <c r="C54" s="28" t="str">
        <f>IF(Interface!D9=0," ",Interface!D9)</f>
        <v xml:space="preserve"> </v>
      </c>
      <c r="D54" s="28" t="str">
        <f>IF(Interface!E9=0," ",Interface!E9)</f>
        <v xml:space="preserve"> </v>
      </c>
      <c r="E54" s="28" t="str">
        <f>IF(Interface!F9=0," ",Interface!F9)</f>
        <v xml:space="preserve"> </v>
      </c>
    </row>
    <row r="55" spans="1:5" x14ac:dyDescent="0.3">
      <c r="A55" s="28" t="str">
        <f>IF(Interface!B10=0," ",Interface!B10)</f>
        <v xml:space="preserve"> </v>
      </c>
      <c r="B55" s="28" t="str">
        <f>IF(Interface!C10=0," ",Interface!C10)</f>
        <v xml:space="preserve"> </v>
      </c>
      <c r="C55" s="28" t="str">
        <f>IF(Interface!D10=0," ",Interface!D10)</f>
        <v xml:space="preserve"> </v>
      </c>
      <c r="D55" s="28" t="str">
        <f>IF(Interface!E10=0," ",Interface!E10)</f>
        <v xml:space="preserve"> </v>
      </c>
      <c r="E55" s="28" t="str">
        <f>IF(Interface!F10=0," ",Interface!F10)</f>
        <v xml:space="preserve"> </v>
      </c>
    </row>
    <row r="56" spans="1:5" x14ac:dyDescent="0.3">
      <c r="A56" s="28" t="str">
        <f>IF(Interface!B11=0," ",Interface!B11)</f>
        <v xml:space="preserve"> </v>
      </c>
      <c r="B56" s="28" t="str">
        <f>IF(Interface!C11=0," ",Interface!C11)</f>
        <v xml:space="preserve"> </v>
      </c>
      <c r="C56" s="28" t="str">
        <f>IF(Interface!D11=0," ",Interface!D11)</f>
        <v xml:space="preserve"> </v>
      </c>
      <c r="D56" s="28" t="str">
        <f>IF(Interface!E11=0," ",Interface!E11)</f>
        <v xml:space="preserve"> </v>
      </c>
      <c r="E56" s="28" t="str">
        <f>IF(Interface!F11=0," ",Interface!F11)</f>
        <v xml:space="preserve"> </v>
      </c>
    </row>
    <row r="57" spans="1:5" x14ac:dyDescent="0.3">
      <c r="A57" s="28" t="str">
        <f>IF(Interface!B12=0," ",Interface!B12)</f>
        <v xml:space="preserve"> </v>
      </c>
      <c r="B57" s="28" t="str">
        <f>IF(Interface!C12=0," ",Interface!C12)</f>
        <v xml:space="preserve"> </v>
      </c>
      <c r="C57" s="28" t="str">
        <f>IF(Interface!D12=0," ",Interface!D12)</f>
        <v xml:space="preserve"> </v>
      </c>
      <c r="D57" s="28" t="str">
        <f>IF(Interface!E12=0," ",Interface!E12)</f>
        <v xml:space="preserve"> </v>
      </c>
      <c r="E57" s="28" t="str">
        <f>IF(Interface!F12=0," ",Interface!F12)</f>
        <v xml:space="preserve"> </v>
      </c>
    </row>
    <row r="58" spans="1:5" x14ac:dyDescent="0.3">
      <c r="A58" s="28" t="str">
        <f>IF(Interface!B13=0," ",Interface!B13)</f>
        <v xml:space="preserve"> </v>
      </c>
      <c r="B58" s="28" t="str">
        <f>IF(Interface!C13=0," ",Interface!C13)</f>
        <v xml:space="preserve"> </v>
      </c>
      <c r="C58" s="28" t="str">
        <f>IF(Interface!D13=0," ",Interface!D13)</f>
        <v xml:space="preserve"> </v>
      </c>
      <c r="D58" s="28" t="str">
        <f>IF(Interface!E13=0," ",Interface!E13)</f>
        <v xml:space="preserve"> </v>
      </c>
      <c r="E58" s="28" t="str">
        <f>IF(Interface!F13=0," ",Interface!F13)</f>
        <v xml:space="preserve"> </v>
      </c>
    </row>
    <row r="59" spans="1:5" x14ac:dyDescent="0.3">
      <c r="A59" s="28" t="str">
        <f>IF(Interface!B14=0," ",Interface!B14)</f>
        <v xml:space="preserve"> </v>
      </c>
      <c r="B59" s="28" t="str">
        <f>IF(Interface!C14=0," ",Interface!C14)</f>
        <v xml:space="preserve"> </v>
      </c>
      <c r="C59" s="28" t="str">
        <f>IF(Interface!D14=0," ",Interface!D14)</f>
        <v xml:space="preserve"> </v>
      </c>
      <c r="D59" s="28" t="str">
        <f>IF(Interface!E14=0," ",Interface!E14)</f>
        <v xml:space="preserve"> </v>
      </c>
      <c r="E59" s="28" t="str">
        <f>IF(Interface!F14=0," ",Interface!F14)</f>
        <v xml:space="preserve"> </v>
      </c>
    </row>
    <row r="60" spans="1:5" x14ac:dyDescent="0.3">
      <c r="A60" s="28" t="str">
        <f>IF(Interface!B15=0," ",Interface!B15)</f>
        <v xml:space="preserve"> </v>
      </c>
      <c r="B60" s="28" t="str">
        <f>IF(Interface!C15=0," ",Interface!C15)</f>
        <v xml:space="preserve"> </v>
      </c>
      <c r="C60" s="28" t="str">
        <f>IF(Interface!D15=0," ",Interface!D15)</f>
        <v xml:space="preserve"> </v>
      </c>
      <c r="D60" s="28" t="str">
        <f>IF(Interface!E15=0," ",Interface!E15)</f>
        <v xml:space="preserve"> </v>
      </c>
      <c r="E60" s="28" t="str">
        <f>IF(Interface!F15=0," ",Interface!F15)</f>
        <v xml:space="preserve"> </v>
      </c>
    </row>
    <row r="61" spans="1:5" x14ac:dyDescent="0.3">
      <c r="A61" s="28" t="str">
        <f>IF(Interface!B16=0," ",Interface!B16)</f>
        <v xml:space="preserve"> </v>
      </c>
      <c r="B61" s="28" t="str">
        <f>IF(Interface!C16=0," ",Interface!C16)</f>
        <v xml:space="preserve"> </v>
      </c>
      <c r="C61" s="28" t="str">
        <f>IF(Interface!D16=0," ",Interface!D16)</f>
        <v xml:space="preserve"> </v>
      </c>
      <c r="D61" s="28" t="str">
        <f>IF(Interface!E16=0," ",Interface!E16)</f>
        <v xml:space="preserve"> </v>
      </c>
      <c r="E61" s="28" t="str">
        <f>IF(Interface!F16=0," ",Interface!F16)</f>
        <v xml:space="preserve"> </v>
      </c>
    </row>
    <row r="62" spans="1:5" x14ac:dyDescent="0.3">
      <c r="A62" s="28" t="str">
        <f>IF(Interface!B17=0," ",Interface!B17)</f>
        <v xml:space="preserve"> </v>
      </c>
      <c r="B62" s="28" t="str">
        <f>IF(Interface!C17=0," ",Interface!C17)</f>
        <v xml:space="preserve"> </v>
      </c>
      <c r="C62" s="28" t="str">
        <f>IF(Interface!D17=0," ",Interface!D17)</f>
        <v xml:space="preserve"> </v>
      </c>
      <c r="D62" s="28" t="str">
        <f>IF(Interface!E17=0," ",Interface!E17)</f>
        <v xml:space="preserve"> </v>
      </c>
      <c r="E62" s="28" t="str">
        <f>IF(Interface!F17=0," ",Interface!F17)</f>
        <v xml:space="preserve"> </v>
      </c>
    </row>
    <row r="63" spans="1:5" x14ac:dyDescent="0.3">
      <c r="A63" s="28" t="str">
        <f>IF(Interface!B18=0," ",Interface!B18)</f>
        <v xml:space="preserve"> </v>
      </c>
      <c r="B63" s="28" t="str">
        <f>IF(Interface!C18=0," ",Interface!C18)</f>
        <v xml:space="preserve"> </v>
      </c>
      <c r="C63" s="28" t="str">
        <f>IF(Interface!D18=0," ",Interface!D18)</f>
        <v xml:space="preserve"> </v>
      </c>
      <c r="D63" s="28" t="str">
        <f>IF(Interface!E18=0," ",Interface!E18)</f>
        <v xml:space="preserve"> </v>
      </c>
      <c r="E63" s="28" t="str">
        <f>IF(Interface!F18=0," ",Interface!F18)</f>
        <v xml:space="preserve"> </v>
      </c>
    </row>
    <row r="64" spans="1:5" x14ac:dyDescent="0.3">
      <c r="A64" s="28" t="str">
        <f>IF(Interface!B19=0," ",Interface!B19)</f>
        <v xml:space="preserve"> </v>
      </c>
      <c r="B64" s="28" t="str">
        <f>IF(Interface!C19=0," ",Interface!C19)</f>
        <v xml:space="preserve"> </v>
      </c>
      <c r="C64" s="28" t="str">
        <f>IF(Interface!D19=0," ",Interface!D19)</f>
        <v xml:space="preserve"> </v>
      </c>
      <c r="D64" s="28" t="str">
        <f>IF(Interface!E19=0," ",Interface!E19)</f>
        <v xml:space="preserve"> </v>
      </c>
      <c r="E64" s="28" t="str">
        <f>IF(Interface!F19=0," ",Interface!F19)</f>
        <v xml:space="preserve"> </v>
      </c>
    </row>
    <row r="65" spans="1:5" x14ac:dyDescent="0.3">
      <c r="A65" s="28" t="str">
        <f>IF(Interface!B20=0," ",Interface!B20)</f>
        <v xml:space="preserve"> </v>
      </c>
      <c r="B65" s="28" t="str">
        <f>IF(Interface!C20=0," ",Interface!C20)</f>
        <v xml:space="preserve"> </v>
      </c>
      <c r="C65" s="28" t="str">
        <f>IF(Interface!D20=0," ",Interface!D20)</f>
        <v xml:space="preserve"> </v>
      </c>
      <c r="D65" s="28" t="str">
        <f>IF(Interface!E20=0," ",Interface!E20)</f>
        <v xml:space="preserve"> </v>
      </c>
      <c r="E65" s="28" t="str">
        <f>IF(Interface!F20=0," ",Interface!F20)</f>
        <v xml:space="preserve"> </v>
      </c>
    </row>
    <row r="66" spans="1:5" x14ac:dyDescent="0.3">
      <c r="A66" s="28" t="str">
        <f>IF(Interface!B21=0," ",Interface!B21)</f>
        <v xml:space="preserve"> </v>
      </c>
      <c r="B66" s="28" t="str">
        <f>IF(Interface!C21=0," ",Interface!C21)</f>
        <v xml:space="preserve"> </v>
      </c>
      <c r="C66" s="28" t="str">
        <f>IF(Interface!D21=0," ",Interface!D21)</f>
        <v xml:space="preserve"> </v>
      </c>
      <c r="D66" s="28" t="str">
        <f>IF(Interface!E21=0," ",Interface!E21)</f>
        <v xml:space="preserve"> </v>
      </c>
      <c r="E66" s="28" t="str">
        <f>IF(Interface!F21=0," ",Interface!F21)</f>
        <v xml:space="preserve"> </v>
      </c>
    </row>
    <row r="67" spans="1:5" x14ac:dyDescent="0.3">
      <c r="A67" s="28" t="str">
        <f>IF(Interface!B22=0," ",Interface!B22)</f>
        <v xml:space="preserve"> </v>
      </c>
      <c r="B67" s="28" t="str">
        <f>IF(Interface!C22=0," ",Interface!C22)</f>
        <v xml:space="preserve"> </v>
      </c>
      <c r="C67" s="28" t="str">
        <f>IF(Interface!D22=0," ",Interface!D22)</f>
        <v xml:space="preserve"> </v>
      </c>
      <c r="D67" s="28" t="str">
        <f>IF(Interface!E22=0," ",Interface!E22)</f>
        <v xml:space="preserve"> </v>
      </c>
      <c r="E67" s="28" t="str">
        <f>IF(Interface!F22=0," ",Interface!F22)</f>
        <v xml:space="preserve"> </v>
      </c>
    </row>
    <row r="68" spans="1:5" x14ac:dyDescent="0.3">
      <c r="A68" s="28" t="str">
        <f>IF(Interface!B23=0," ",Interface!B23)</f>
        <v xml:space="preserve"> </v>
      </c>
      <c r="B68" s="28" t="str">
        <f>IF(Interface!C23=0," ",Interface!C23)</f>
        <v xml:space="preserve"> </v>
      </c>
      <c r="C68" s="28" t="str">
        <f>IF(Interface!D23=0," ",Interface!D23)</f>
        <v xml:space="preserve"> </v>
      </c>
      <c r="D68" s="28" t="str">
        <f>IF(Interface!E23=0," ",Interface!E23)</f>
        <v xml:space="preserve"> </v>
      </c>
      <c r="E68" s="28" t="str">
        <f>IF(Interface!F23=0," ",Interface!F23)</f>
        <v xml:space="preserve"> </v>
      </c>
    </row>
    <row r="69" spans="1:5" x14ac:dyDescent="0.3">
      <c r="A69" s="28" t="str">
        <f>IF(Interface!B24=0," ",Interface!B24)</f>
        <v xml:space="preserve"> </v>
      </c>
      <c r="B69" s="28" t="str">
        <f>IF(Interface!C24=0," ",Interface!C24)</f>
        <v xml:space="preserve"> </v>
      </c>
      <c r="C69" s="28" t="str">
        <f>IF(Interface!D24=0," ",Interface!D24)</f>
        <v xml:space="preserve"> </v>
      </c>
      <c r="D69" s="28" t="str">
        <f>IF(Interface!E24=0," ",Interface!E24)</f>
        <v xml:space="preserve"> </v>
      </c>
      <c r="E69" s="28" t="str">
        <f>IF(Interface!F24=0," ",Interface!F24)</f>
        <v xml:space="preserve"> </v>
      </c>
    </row>
    <row r="70" spans="1:5" x14ac:dyDescent="0.3">
      <c r="A70" s="28" t="str">
        <f>IF(Interface!B25=0," ",Interface!B25)</f>
        <v xml:space="preserve"> </v>
      </c>
      <c r="B70" s="28" t="str">
        <f>IF(Interface!C25=0," ",Interface!C25)</f>
        <v xml:space="preserve"> </v>
      </c>
      <c r="C70" s="28" t="str">
        <f>IF(Interface!D25=0," ",Interface!D25)</f>
        <v xml:space="preserve"> </v>
      </c>
      <c r="D70" s="28" t="str">
        <f>IF(Interface!E25=0," ",Interface!E25)</f>
        <v xml:space="preserve"> </v>
      </c>
      <c r="E70" s="28" t="str">
        <f>IF(Interface!F25=0," ",Interface!F25)</f>
        <v xml:space="preserve"> </v>
      </c>
    </row>
    <row r="71" spans="1:5" x14ac:dyDescent="0.3">
      <c r="A71" s="28" t="str">
        <f>IF(Interface!B26=0," ",Interface!B26)</f>
        <v xml:space="preserve"> </v>
      </c>
      <c r="B71" s="28" t="str">
        <f>IF(Interface!C26=0," ",Interface!C26)</f>
        <v xml:space="preserve"> </v>
      </c>
      <c r="C71" s="28" t="str">
        <f>IF(Interface!D26=0," ",Interface!D26)</f>
        <v xml:space="preserve"> </v>
      </c>
      <c r="D71" s="28" t="str">
        <f>IF(Interface!E26=0," ",Interface!E26)</f>
        <v xml:space="preserve"> </v>
      </c>
      <c r="E71" s="28" t="str">
        <f>IF(Interface!F26=0," ",Interface!F26)</f>
        <v xml:space="preserve"> </v>
      </c>
    </row>
    <row r="72" spans="1:5" x14ac:dyDescent="0.3">
      <c r="A72" s="28" t="str">
        <f>IF(Interface!B27=0," ",Interface!B27)</f>
        <v xml:space="preserve"> </v>
      </c>
      <c r="B72" s="28" t="str">
        <f>IF(Interface!C27=0," ",Interface!C27)</f>
        <v xml:space="preserve"> </v>
      </c>
      <c r="C72" s="28" t="str">
        <f>IF(Interface!D27=0," ",Interface!D27)</f>
        <v xml:space="preserve"> </v>
      </c>
      <c r="D72" s="28" t="str">
        <f>IF(Interface!E27=0," ",Interface!E27)</f>
        <v xml:space="preserve"> </v>
      </c>
      <c r="E72" s="28" t="str">
        <f>IF(Interface!F27=0," ",Interface!F27)</f>
        <v xml:space="preserve"> </v>
      </c>
    </row>
    <row r="73" spans="1:5" x14ac:dyDescent="0.3">
      <c r="A73" s="28" t="str">
        <f>IF(Interface!B28=0," ",Interface!B28)</f>
        <v xml:space="preserve"> </v>
      </c>
      <c r="B73" s="28" t="str">
        <f>IF(Interface!C28=0," ",Interface!C28)</f>
        <v xml:space="preserve"> </v>
      </c>
      <c r="C73" s="28" t="str">
        <f>IF(Interface!D28=0," ",Interface!D28)</f>
        <v xml:space="preserve"> </v>
      </c>
      <c r="D73" s="28" t="str">
        <f>IF(Interface!E28=0," ",Interface!E28)</f>
        <v xml:space="preserve"> </v>
      </c>
      <c r="E73" s="28" t="str">
        <f>IF(Interface!F28=0," ",Interface!F28)</f>
        <v xml:space="preserve"> </v>
      </c>
    </row>
    <row r="74" spans="1:5" x14ac:dyDescent="0.3">
      <c r="A74" s="28" t="str">
        <f>IF(Interface!B29=0," ",Interface!B29)</f>
        <v xml:space="preserve"> </v>
      </c>
      <c r="B74" s="28" t="str">
        <f>IF(Interface!C29=0," ",Interface!C29)</f>
        <v xml:space="preserve"> </v>
      </c>
      <c r="C74" s="28" t="str">
        <f>IF(Interface!D29=0," ",Interface!D29)</f>
        <v xml:space="preserve"> </v>
      </c>
      <c r="D74" s="28" t="str">
        <f>IF(Interface!E29=0," ",Interface!E29)</f>
        <v xml:space="preserve"> </v>
      </c>
      <c r="E74" s="28" t="str">
        <f>IF(Interface!F29=0," ",Interface!F29)</f>
        <v xml:space="preserve"> </v>
      </c>
    </row>
    <row r="75" spans="1:5" x14ac:dyDescent="0.3">
      <c r="A75" s="28" t="str">
        <f>IF(Interface!B30=0," ",Interface!B30)</f>
        <v xml:space="preserve"> </v>
      </c>
      <c r="B75" s="28" t="str">
        <f>IF(Interface!C30=0," ",Interface!C30)</f>
        <v xml:space="preserve"> </v>
      </c>
      <c r="C75" s="28" t="str">
        <f>IF(Interface!D30=0," ",Interface!D30)</f>
        <v xml:space="preserve"> </v>
      </c>
      <c r="D75" s="28" t="str">
        <f>IF(Interface!E30=0," ",Interface!E30)</f>
        <v xml:space="preserve"> </v>
      </c>
      <c r="E75" s="28" t="str">
        <f>IF(Interface!F30=0," ",Interface!F30)</f>
        <v xml:space="preserve"> </v>
      </c>
    </row>
    <row r="76" spans="1:5" x14ac:dyDescent="0.3">
      <c r="A76" s="28" t="str">
        <f>IF(Interface!B31=0," ",Interface!B31)</f>
        <v xml:space="preserve"> </v>
      </c>
      <c r="B76" s="28" t="str">
        <f>IF(Interface!C31=0," ",Interface!C31)</f>
        <v xml:space="preserve"> </v>
      </c>
      <c r="C76" s="28" t="str">
        <f>IF(Interface!D31=0," ",Interface!D31)</f>
        <v xml:space="preserve"> </v>
      </c>
      <c r="D76" s="28" t="str">
        <f>IF(Interface!E31=0," ",Interface!E31)</f>
        <v xml:space="preserve"> </v>
      </c>
      <c r="E76" s="28" t="str">
        <f>IF(Interface!F31=0," ",Interface!F31)</f>
        <v xml:space="preserve"> </v>
      </c>
    </row>
    <row r="77" spans="1:5" x14ac:dyDescent="0.3">
      <c r="A77" s="28" t="str">
        <f>IF(Interface!B32=0," ",Interface!B32)</f>
        <v xml:space="preserve"> </v>
      </c>
      <c r="B77" s="28" t="str">
        <f>IF(Interface!C32=0," ",Interface!C32)</f>
        <v xml:space="preserve"> </v>
      </c>
      <c r="C77" s="28" t="str">
        <f>IF(Interface!D32=0," ",Interface!D32)</f>
        <v xml:space="preserve"> </v>
      </c>
      <c r="D77" s="28" t="str">
        <f>IF(Interface!E32=0," ",Interface!E32)</f>
        <v xml:space="preserve"> </v>
      </c>
      <c r="E77" s="28" t="str">
        <f>IF(Interface!F32=0," ",Interface!F32)</f>
        <v xml:space="preserve"> </v>
      </c>
    </row>
    <row r="78" spans="1:5" x14ac:dyDescent="0.3">
      <c r="A78" s="28" t="str">
        <f>IF(Interface!B33=0," ",Interface!B33)</f>
        <v xml:space="preserve"> </v>
      </c>
      <c r="B78" s="28" t="str">
        <f>IF(Interface!C33=0," ",Interface!C33)</f>
        <v xml:space="preserve"> </v>
      </c>
      <c r="C78" s="28" t="str">
        <f>IF(Interface!D33=0," ",Interface!D33)</f>
        <v xml:space="preserve"> </v>
      </c>
      <c r="D78" s="28" t="str">
        <f>IF(Interface!E33=0," ",Interface!E33)</f>
        <v xml:space="preserve"> </v>
      </c>
      <c r="E78" s="28" t="str">
        <f>IF(Interface!F33=0," ",Interface!F33)</f>
        <v xml:space="preserve"> </v>
      </c>
    </row>
    <row r="79" spans="1:5" x14ac:dyDescent="0.3">
      <c r="A79" s="28" t="str">
        <f>IF(Interface!B34=0," ",Interface!B34)</f>
        <v xml:space="preserve"> </v>
      </c>
      <c r="B79" s="28" t="str">
        <f>IF(Interface!C34=0," ",Interface!C34)</f>
        <v xml:space="preserve"> </v>
      </c>
      <c r="C79" s="28" t="str">
        <f>IF(Interface!D34=0," ",Interface!D34)</f>
        <v xml:space="preserve"> </v>
      </c>
      <c r="D79" s="28" t="str">
        <f>IF(Interface!E34=0," ",Interface!E34)</f>
        <v xml:space="preserve"> </v>
      </c>
      <c r="E79" s="28" t="str">
        <f>IF(Interface!F34=0," ",Interface!F34)</f>
        <v xml:space="preserve"> </v>
      </c>
    </row>
    <row r="80" spans="1:5" x14ac:dyDescent="0.3">
      <c r="A80" s="28" t="str">
        <f>IF(Interface!B35=0," ",Interface!B35)</f>
        <v xml:space="preserve"> </v>
      </c>
      <c r="B80" s="28" t="str">
        <f>IF(Interface!C35=0," ",Interface!C35)</f>
        <v xml:space="preserve"> </v>
      </c>
      <c r="C80" s="28" t="str">
        <f>IF(Interface!D35=0," ",Interface!D35)</f>
        <v xml:space="preserve"> </v>
      </c>
      <c r="D80" s="28" t="str">
        <f>IF(Interface!E35=0," ",Interface!E35)</f>
        <v xml:space="preserve"> </v>
      </c>
      <c r="E80" s="28" t="str">
        <f>IF(Interface!F35=0," ",Interface!F35)</f>
        <v xml:space="preserve"> </v>
      </c>
    </row>
    <row r="81" spans="1:5" x14ac:dyDescent="0.3">
      <c r="A81" s="28" t="str">
        <f>IF(Interface!B36=0," ",Interface!B36)</f>
        <v xml:space="preserve"> </v>
      </c>
      <c r="B81" s="28" t="str">
        <f>IF(Interface!C36=0," ",Interface!C36)</f>
        <v xml:space="preserve"> </v>
      </c>
      <c r="C81" s="28" t="str">
        <f>IF(Interface!D36=0," ",Interface!D36)</f>
        <v xml:space="preserve"> </v>
      </c>
      <c r="D81" s="28" t="str">
        <f>IF(Interface!E36=0," ",Interface!E36)</f>
        <v xml:space="preserve"> </v>
      </c>
      <c r="E81" s="28" t="str">
        <f>IF(Interface!F36=0," ",Interface!F36)</f>
        <v xml:space="preserve"> </v>
      </c>
    </row>
    <row r="82" spans="1:5" x14ac:dyDescent="0.3">
      <c r="A82" s="28" t="str">
        <f>IF(Interface!B37=0," ",Interface!B37)</f>
        <v xml:space="preserve"> </v>
      </c>
      <c r="B82" s="28" t="str">
        <f>IF(Interface!C37=0," ",Interface!C37)</f>
        <v xml:space="preserve"> </v>
      </c>
      <c r="C82" s="28" t="str">
        <f>IF(Interface!D37=0," ",Interface!D37)</f>
        <v xml:space="preserve"> </v>
      </c>
      <c r="D82" s="28" t="str">
        <f>IF(Interface!E37=0," ",Interface!E37)</f>
        <v xml:space="preserve"> </v>
      </c>
      <c r="E82" s="28" t="str">
        <f>IF(Interface!F37=0," ",Interface!F37)</f>
        <v xml:space="preserve"> </v>
      </c>
    </row>
    <row r="83" spans="1:5" x14ac:dyDescent="0.3">
      <c r="A83" s="28" t="str">
        <f>IF(Interface!B38=0," ",Interface!B38)</f>
        <v xml:space="preserve"> </v>
      </c>
      <c r="B83" s="28" t="str">
        <f>IF(Interface!C38=0," ",Interface!C38)</f>
        <v xml:space="preserve"> </v>
      </c>
      <c r="C83" s="28" t="str">
        <f>IF(Interface!D38=0," ",Interface!D38)</f>
        <v xml:space="preserve"> </v>
      </c>
      <c r="D83" s="28" t="str">
        <f>IF(Interface!E38=0," ",Interface!E38)</f>
        <v xml:space="preserve"> </v>
      </c>
      <c r="E83" s="28" t="str">
        <f>IF(Interface!F38=0," ",Interface!F38)</f>
        <v xml:space="preserve"> </v>
      </c>
    </row>
    <row r="84" spans="1:5" x14ac:dyDescent="0.3">
      <c r="A84" s="28" t="str">
        <f>IF(Interface!B39=0," ",Interface!B39)</f>
        <v xml:space="preserve"> </v>
      </c>
      <c r="B84" s="28" t="str">
        <f>IF(Interface!C39=0," ",Interface!C39)</f>
        <v xml:space="preserve"> </v>
      </c>
      <c r="C84" s="28" t="str">
        <f>IF(Interface!D39=0," ",Interface!D39)</f>
        <v xml:space="preserve"> </v>
      </c>
      <c r="D84" s="28" t="str">
        <f>IF(Interface!E39=0," ",Interface!E39)</f>
        <v xml:space="preserve"> </v>
      </c>
      <c r="E84" s="28" t="str">
        <f>IF(Interface!F39=0," ",Interface!F39)</f>
        <v xml:space="preserve"> </v>
      </c>
    </row>
    <row r="85" spans="1:5" x14ac:dyDescent="0.3">
      <c r="A85" s="28" t="str">
        <f>IF(Interface!B40=0," ",Interface!B40)</f>
        <v xml:space="preserve"> </v>
      </c>
      <c r="B85" s="28" t="str">
        <f>IF(Interface!C40=0," ",Interface!C40)</f>
        <v xml:space="preserve"> </v>
      </c>
      <c r="C85" s="28" t="str">
        <f>IF(Interface!D40=0," ",Interface!D40)</f>
        <v xml:space="preserve"> </v>
      </c>
      <c r="D85" s="28" t="str">
        <f>IF(Interface!E40=0," ",Interface!E40)</f>
        <v xml:space="preserve"> </v>
      </c>
      <c r="E85" s="28" t="str">
        <f>IF(Interface!F40=0," ",Interface!F40)</f>
        <v xml:space="preserve"> </v>
      </c>
    </row>
    <row r="86" spans="1:5" x14ac:dyDescent="0.3">
      <c r="A86" s="28" t="str">
        <f>IF(Interface!B41=0," ",Interface!B41)</f>
        <v xml:space="preserve"> </v>
      </c>
      <c r="B86" s="28" t="str">
        <f>IF(Interface!C41=0," ",Interface!C41)</f>
        <v xml:space="preserve"> </v>
      </c>
      <c r="C86" s="28" t="str">
        <f>IF(Interface!D41=0," ",Interface!D41)</f>
        <v xml:space="preserve"> </v>
      </c>
      <c r="D86" s="28" t="str">
        <f>IF(Interface!E41=0," ",Interface!E41)</f>
        <v xml:space="preserve"> </v>
      </c>
      <c r="E86" s="28" t="str">
        <f>IF(Interface!F41=0," ",Interface!F41)</f>
        <v xml:space="preserve"> </v>
      </c>
    </row>
    <row r="87" spans="1:5" x14ac:dyDescent="0.3">
      <c r="A87" s="28" t="str">
        <f>IF(Interface!B42=0," ",Interface!B42)</f>
        <v xml:space="preserve"> </v>
      </c>
      <c r="B87" s="28" t="str">
        <f>IF(Interface!C42=0," ",Interface!C42)</f>
        <v xml:space="preserve"> </v>
      </c>
      <c r="C87" s="28" t="str">
        <f>IF(Interface!D42=0," ",Interface!D42)</f>
        <v xml:space="preserve"> </v>
      </c>
      <c r="D87" s="28" t="str">
        <f>IF(Interface!E42=0," ",Interface!E42)</f>
        <v xml:space="preserve"> </v>
      </c>
      <c r="E87" s="28" t="str">
        <f>IF(Interface!F42=0," ",Interface!F42)</f>
        <v xml:space="preserve"> </v>
      </c>
    </row>
    <row r="88" spans="1:5" x14ac:dyDescent="0.3">
      <c r="A88" s="28" t="str">
        <f>IF(Interface!B43=0," ",Interface!B43)</f>
        <v xml:space="preserve"> </v>
      </c>
      <c r="B88" s="28" t="str">
        <f>IF(Interface!C43=0," ",Interface!C43)</f>
        <v xml:space="preserve"> </v>
      </c>
      <c r="C88" s="28" t="str">
        <f>IF(Interface!D43=0," ",Interface!D43)</f>
        <v xml:space="preserve"> </v>
      </c>
      <c r="D88" s="28" t="str">
        <f>IF(Interface!E43=0," ",Interface!E43)</f>
        <v xml:space="preserve"> </v>
      </c>
      <c r="E88" s="28" t="str">
        <f>IF(Interface!F43=0," ",Interface!F43)</f>
        <v xml:space="preserve"> </v>
      </c>
    </row>
    <row r="89" spans="1:5" x14ac:dyDescent="0.3">
      <c r="A89" s="28" t="str">
        <f>IF(Interface!B44=0," ",Interface!B44)</f>
        <v xml:space="preserve"> </v>
      </c>
      <c r="B89" s="28" t="str">
        <f>IF(Interface!C44=0," ",Interface!C44)</f>
        <v xml:space="preserve"> </v>
      </c>
      <c r="C89" s="28" t="str">
        <f>IF(Interface!D44=0," ",Interface!D44)</f>
        <v xml:space="preserve"> </v>
      </c>
      <c r="D89" s="28" t="str">
        <f>IF(Interface!E44=0," ",Interface!E44)</f>
        <v xml:space="preserve"> </v>
      </c>
      <c r="E89" s="28" t="str">
        <f>IF(Interface!F44=0," ",Interface!F44)</f>
        <v xml:space="preserve"> </v>
      </c>
    </row>
    <row r="90" spans="1:5" x14ac:dyDescent="0.3">
      <c r="A90" s="28" t="str">
        <f>IF(Interface!B45=0," ",Interface!B45)</f>
        <v xml:space="preserve"> </v>
      </c>
      <c r="B90" s="28" t="str">
        <f>IF(Interface!C45=0," ",Interface!C45)</f>
        <v xml:space="preserve"> </v>
      </c>
      <c r="C90" s="28" t="str">
        <f>IF(Interface!D45=0," ",Interface!D45)</f>
        <v xml:space="preserve"> </v>
      </c>
      <c r="D90" s="28" t="str">
        <f>IF(Interface!E45=0," ",Interface!E45)</f>
        <v xml:space="preserve"> </v>
      </c>
      <c r="E90" s="28" t="str">
        <f>IF(Interface!F45=0," ",Interface!F45)</f>
        <v xml:space="preserve"> </v>
      </c>
    </row>
    <row r="91" spans="1:5" x14ac:dyDescent="0.3">
      <c r="A91" s="28" t="str">
        <f>IF(Interface!B46=0," ",Interface!B46)</f>
        <v xml:space="preserve"> </v>
      </c>
      <c r="B91" s="28" t="str">
        <f>IF(Interface!C46=0," ",Interface!C46)</f>
        <v xml:space="preserve"> </v>
      </c>
      <c r="C91" s="28" t="str">
        <f>IF(Interface!D46=0," ",Interface!D46)</f>
        <v xml:space="preserve"> </v>
      </c>
      <c r="D91" s="28" t="str">
        <f>IF(Interface!E46=0," ",Interface!E46)</f>
        <v xml:space="preserve"> </v>
      </c>
      <c r="E91" s="28" t="str">
        <f>IF(Interface!F46=0," ",Interface!F46)</f>
        <v xml:space="preserve"> </v>
      </c>
    </row>
    <row r="92" spans="1:5" x14ac:dyDescent="0.3">
      <c r="A92" s="28" t="str">
        <f>IF(Interface!B47=0," ",Interface!B47)</f>
        <v xml:space="preserve"> </v>
      </c>
      <c r="B92" s="28" t="str">
        <f>IF(Interface!C47=0," ",Interface!C47)</f>
        <v xml:space="preserve"> </v>
      </c>
      <c r="C92" s="28" t="str">
        <f>IF(Interface!D47=0," ",Interface!D47)</f>
        <v xml:space="preserve"> </v>
      </c>
      <c r="D92" s="28" t="str">
        <f>IF(Interface!E47=0," ",Interface!E47)</f>
        <v xml:space="preserve"> </v>
      </c>
      <c r="E92" s="28" t="str">
        <f>IF(Interface!F47=0," ",Interface!F47)</f>
        <v xml:space="preserve"> </v>
      </c>
    </row>
    <row r="93" spans="1:5" x14ac:dyDescent="0.3">
      <c r="A93" s="28" t="str">
        <f>IF(Interface!B48=0," ",Interface!B48)</f>
        <v xml:space="preserve"> </v>
      </c>
      <c r="B93" s="28" t="str">
        <f>IF(Interface!C48=0," ",Interface!C48)</f>
        <v xml:space="preserve"> </v>
      </c>
      <c r="C93" s="28" t="str">
        <f>IF(Interface!D48=0," ",Interface!D48)</f>
        <v xml:space="preserve"> </v>
      </c>
      <c r="D93" s="28" t="str">
        <f>IF(Interface!E48=0," ",Interface!E48)</f>
        <v xml:space="preserve"> </v>
      </c>
      <c r="E93" s="28" t="str">
        <f>IF(Interface!F48=0," ",Interface!F48)</f>
        <v xml:space="preserve"> </v>
      </c>
    </row>
    <row r="94" spans="1:5" x14ac:dyDescent="0.3">
      <c r="A94" s="28" t="str">
        <f>IF(Interface!B49=0," ",Interface!B49)</f>
        <v xml:space="preserve"> </v>
      </c>
      <c r="B94" s="28" t="str">
        <f>IF(Interface!C49=0," ",Interface!C49)</f>
        <v xml:space="preserve"> </v>
      </c>
      <c r="C94" s="28" t="str">
        <f>IF(Interface!D49=0," ",Interface!D49)</f>
        <v xml:space="preserve"> </v>
      </c>
      <c r="D94" s="28" t="str">
        <f>IF(Interface!E49=0," ",Interface!E49)</f>
        <v xml:space="preserve"> </v>
      </c>
      <c r="E94" s="28" t="str">
        <f>IF(Interface!F49=0," ",Interface!F49)</f>
        <v xml:space="preserve"> </v>
      </c>
    </row>
    <row r="95" spans="1:5" x14ac:dyDescent="0.3">
      <c r="A95" s="28" t="str">
        <f>IF(Interface!B50=0," ",Interface!B50)</f>
        <v xml:space="preserve"> </v>
      </c>
      <c r="B95" s="28" t="str">
        <f>IF(Interface!C50=0," ",Interface!C50)</f>
        <v xml:space="preserve"> </v>
      </c>
      <c r="C95" s="28" t="str">
        <f>IF(Interface!D50=0," ",Interface!D50)</f>
        <v xml:space="preserve"> </v>
      </c>
      <c r="D95" s="28" t="str">
        <f>IF(Interface!E50=0," ",Interface!E50)</f>
        <v xml:space="preserve"> </v>
      </c>
      <c r="E95" s="28" t="str">
        <f>IF(Interface!F50=0," ",Interface!F50)</f>
        <v xml:space="preserve"> </v>
      </c>
    </row>
    <row r="96" spans="1:5" x14ac:dyDescent="0.3">
      <c r="A96" s="28" t="str">
        <f>IF(Interface!B51=0," ",Interface!B51)</f>
        <v xml:space="preserve"> </v>
      </c>
      <c r="B96" s="28" t="str">
        <f>IF(Interface!C51=0," ",Interface!C51)</f>
        <v xml:space="preserve"> </v>
      </c>
      <c r="C96" s="28" t="str">
        <f>IF(Interface!D51=0," ",Interface!D51)</f>
        <v xml:space="preserve"> </v>
      </c>
      <c r="D96" s="28" t="str">
        <f>IF(Interface!E51=0," ",Interface!E51)</f>
        <v xml:space="preserve"> </v>
      </c>
      <c r="E96" s="28" t="str">
        <f>IF(Interface!F51=0," ",Interface!F51)</f>
        <v xml:space="preserve"> </v>
      </c>
    </row>
    <row r="97" spans="1:5" x14ac:dyDescent="0.3">
      <c r="A97" s="28" t="str">
        <f>IF(Interface!B52=0," ",Interface!B52)</f>
        <v xml:space="preserve"> </v>
      </c>
      <c r="B97" s="28" t="str">
        <f>IF(Interface!C52=0," ",Interface!C52)</f>
        <v xml:space="preserve"> </v>
      </c>
      <c r="C97" s="28" t="str">
        <f>IF(Interface!D52=0," ",Interface!D52)</f>
        <v xml:space="preserve"> </v>
      </c>
      <c r="D97" s="28" t="str">
        <f>IF(Interface!E52=0," ",Interface!E52)</f>
        <v xml:space="preserve"> </v>
      </c>
      <c r="E97" s="28" t="str">
        <f>IF(Interface!F52=0," ",Interface!F52)</f>
        <v xml:space="preserve"> </v>
      </c>
    </row>
    <row r="98" spans="1:5" x14ac:dyDescent="0.3">
      <c r="A98" s="28" t="str">
        <f>IF(Interface!B53=0," ",Interface!B53)</f>
        <v xml:space="preserve"> </v>
      </c>
      <c r="B98" s="28" t="str">
        <f>IF(Interface!C53=0," ",Interface!C53)</f>
        <v xml:space="preserve"> </v>
      </c>
      <c r="C98" s="28" t="str">
        <f>IF(Interface!D53=0," ",Interface!D53)</f>
        <v xml:space="preserve"> </v>
      </c>
      <c r="D98" s="28" t="str">
        <f>IF(Interface!E53=0," ",Interface!E53)</f>
        <v xml:space="preserve"> </v>
      </c>
      <c r="E98" s="28" t="str">
        <f>IF(Interface!F53=0," ",Interface!F53)</f>
        <v xml:space="preserve"> </v>
      </c>
    </row>
    <row r="99" spans="1:5" x14ac:dyDescent="0.3">
      <c r="A99" s="28" t="str">
        <f>IF(Interface!B54=0," ",Interface!B54)</f>
        <v xml:space="preserve"> </v>
      </c>
      <c r="B99" s="28" t="str">
        <f>IF(Interface!C54=0," ",Interface!C54)</f>
        <v xml:space="preserve"> </v>
      </c>
      <c r="C99" s="28" t="str">
        <f>IF(Interface!D54=0," ",Interface!D54)</f>
        <v xml:space="preserve"> </v>
      </c>
      <c r="D99" s="28" t="str">
        <f>IF(Interface!E54=0," ",Interface!E54)</f>
        <v xml:space="preserve"> </v>
      </c>
      <c r="E99" s="28" t="str">
        <f>IF(Interface!F54=0," ",Interface!F54)</f>
        <v xml:space="preserve"> </v>
      </c>
    </row>
    <row r="100" spans="1:5" x14ac:dyDescent="0.3">
      <c r="A100" s="28" t="str">
        <f>IF(Interface!B55=0," ",Interface!B55)</f>
        <v xml:space="preserve"> </v>
      </c>
      <c r="B100" s="28" t="str">
        <f>IF(Interface!C55=0," ",Interface!C55)</f>
        <v xml:space="preserve"> </v>
      </c>
      <c r="C100" s="28" t="str">
        <f>IF(Interface!D55=0," ",Interface!D55)</f>
        <v xml:space="preserve"> </v>
      </c>
      <c r="D100" s="28" t="str">
        <f>IF(Interface!E55=0," ",Interface!E55)</f>
        <v xml:space="preserve"> </v>
      </c>
      <c r="E100" s="28" t="str">
        <f>IF(Interface!F55=0," ",Interface!F55)</f>
        <v xml:space="preserve"> </v>
      </c>
    </row>
    <row r="101" spans="1:5" x14ac:dyDescent="0.3">
      <c r="A101" s="28" t="str">
        <f>IF(Interface!B56=0," ",Interface!B56)</f>
        <v xml:space="preserve"> </v>
      </c>
      <c r="B101" s="28" t="str">
        <f>IF(Interface!C56=0," ",Interface!C56)</f>
        <v xml:space="preserve"> </v>
      </c>
      <c r="C101" s="28" t="str">
        <f>IF(Interface!D56=0," ",Interface!D56)</f>
        <v xml:space="preserve"> </v>
      </c>
      <c r="D101" s="28" t="str">
        <f>IF(Interface!E56=0," ",Interface!E56)</f>
        <v xml:space="preserve"> </v>
      </c>
      <c r="E101" s="28" t="str">
        <f>IF(Interface!F56=0," ",Interface!F56)</f>
        <v xml:space="preserve"> </v>
      </c>
    </row>
    <row r="102" spans="1:5" x14ac:dyDescent="0.3">
      <c r="A102" s="28" t="str">
        <f>IF(Interface!B57=0," ",Interface!B57)</f>
        <v xml:space="preserve"> </v>
      </c>
      <c r="B102" s="28" t="str">
        <f>IF(Interface!C57=0," ",Interface!C57)</f>
        <v xml:space="preserve"> </v>
      </c>
      <c r="C102" s="28" t="str">
        <f>IF(Interface!D57=0," ",Interface!D57)</f>
        <v xml:space="preserve"> </v>
      </c>
      <c r="D102" s="28" t="str">
        <f>IF(Interface!E57=0," ",Interface!E57)</f>
        <v xml:space="preserve"> </v>
      </c>
      <c r="E102" s="28" t="str">
        <f>IF(Interface!F57=0," ",Interface!F57)</f>
        <v xml:space="preserve"> </v>
      </c>
    </row>
    <row r="103" spans="1:5" x14ac:dyDescent="0.3">
      <c r="A103" s="28" t="str">
        <f>IF(Interface!B58=0," ",Interface!B58)</f>
        <v xml:space="preserve"> </v>
      </c>
      <c r="B103" s="28" t="str">
        <f>IF(Interface!C58=0," ",Interface!C58)</f>
        <v xml:space="preserve"> </v>
      </c>
      <c r="C103" s="28" t="str">
        <f>IF(Interface!D58=0," ",Interface!D58)</f>
        <v xml:space="preserve"> </v>
      </c>
      <c r="D103" s="28" t="str">
        <f>IF(Interface!E58=0," ",Interface!E58)</f>
        <v xml:space="preserve"> </v>
      </c>
      <c r="E103" s="28" t="str">
        <f>IF(Interface!F58=0," ",Interface!F58)</f>
        <v xml:space="preserve"> </v>
      </c>
    </row>
    <row r="104" spans="1:5" x14ac:dyDescent="0.3">
      <c r="A104" s="28" t="str">
        <f>IF(Interface!B59=0," ",Interface!B59)</f>
        <v xml:space="preserve"> </v>
      </c>
      <c r="B104" s="28" t="str">
        <f>IF(Interface!C59=0," ",Interface!C59)</f>
        <v xml:space="preserve"> </v>
      </c>
      <c r="C104" s="28" t="str">
        <f>IF(Interface!D59=0," ",Interface!D59)</f>
        <v xml:space="preserve"> </v>
      </c>
      <c r="D104" s="28" t="str">
        <f>IF(Interface!E59=0," ",Interface!E59)</f>
        <v xml:space="preserve"> </v>
      </c>
      <c r="E104" s="28" t="str">
        <f>IF(Interface!F59=0," ",Interface!F59)</f>
        <v xml:space="preserve"> </v>
      </c>
    </row>
    <row r="105" spans="1:5" x14ac:dyDescent="0.3">
      <c r="A105" s="28" t="str">
        <f>IF(Interface!B60=0," ",Interface!B60)</f>
        <v xml:space="preserve"> </v>
      </c>
      <c r="B105" s="28" t="str">
        <f>IF(Interface!C60=0," ",Interface!C60)</f>
        <v xml:space="preserve"> </v>
      </c>
      <c r="C105" s="28" t="str">
        <f>IF(Interface!D60=0," ",Interface!D60)</f>
        <v xml:space="preserve"> </v>
      </c>
      <c r="D105" s="28" t="str">
        <f>IF(Interface!E60=0," ",Interface!E60)</f>
        <v xml:space="preserve"> </v>
      </c>
      <c r="E105" s="28" t="str">
        <f>IF(Interface!F60=0," ",Interface!F60)</f>
        <v xml:space="preserve"> </v>
      </c>
    </row>
    <row r="106" spans="1:5" x14ac:dyDescent="0.3">
      <c r="A106" s="28" t="str">
        <f>IF(Interface!B61=0," ",Interface!B61)</f>
        <v xml:space="preserve"> </v>
      </c>
      <c r="B106" s="28" t="str">
        <f>IF(Interface!C61=0," ",Interface!C61)</f>
        <v xml:space="preserve"> </v>
      </c>
      <c r="C106" s="28" t="str">
        <f>IF(Interface!D61=0," ",Interface!D61)</f>
        <v xml:space="preserve"> </v>
      </c>
      <c r="D106" s="28" t="str">
        <f>IF(Interface!E61=0," ",Interface!E61)</f>
        <v xml:space="preserve"> </v>
      </c>
      <c r="E106" s="28" t="str">
        <f>IF(Interface!F61=0," ",Interface!F61)</f>
        <v xml:space="preserve"> </v>
      </c>
    </row>
    <row r="107" spans="1:5" x14ac:dyDescent="0.3">
      <c r="A107" s="28" t="str">
        <f>IF(Interface!B62=0," ",Interface!B62)</f>
        <v xml:space="preserve"> </v>
      </c>
      <c r="B107" s="28" t="str">
        <f>IF(Interface!C62=0," ",Interface!C62)</f>
        <v xml:space="preserve"> </v>
      </c>
      <c r="C107" s="28" t="str">
        <f>IF(Interface!D62=0," ",Interface!D62)</f>
        <v xml:space="preserve"> </v>
      </c>
      <c r="D107" s="28" t="str">
        <f>IF(Interface!E62=0," ",Interface!E62)</f>
        <v xml:space="preserve"> </v>
      </c>
      <c r="E107" s="28" t="str">
        <f>IF(Interface!F62=0," ",Interface!F62)</f>
        <v xml:space="preserve"> </v>
      </c>
    </row>
    <row r="108" spans="1:5" x14ac:dyDescent="0.3">
      <c r="A108" s="28" t="str">
        <f>IF(Interface!B63=0," ",Interface!B63)</f>
        <v xml:space="preserve"> </v>
      </c>
      <c r="B108" s="28" t="str">
        <f>IF(Interface!C63=0," ",Interface!C63)</f>
        <v xml:space="preserve"> </v>
      </c>
      <c r="C108" s="28" t="str">
        <f>IF(Interface!D63=0," ",Interface!D63)</f>
        <v xml:space="preserve"> </v>
      </c>
      <c r="D108" s="28" t="str">
        <f>IF(Interface!E63=0," ",Interface!E63)</f>
        <v xml:space="preserve"> </v>
      </c>
      <c r="E108" s="28" t="str">
        <f>IF(Interface!F63=0," ",Interface!F63)</f>
        <v xml:space="preserve"> </v>
      </c>
    </row>
    <row r="109" spans="1:5" x14ac:dyDescent="0.3">
      <c r="A109" s="28" t="str">
        <f>IF(Interface!B64=0," ",Interface!B64)</f>
        <v xml:space="preserve"> </v>
      </c>
      <c r="B109" s="28" t="str">
        <f>IF(Interface!C64=0," ",Interface!C64)</f>
        <v xml:space="preserve"> </v>
      </c>
      <c r="C109" s="28" t="str">
        <f>IF(Interface!D64=0," ",Interface!D64)</f>
        <v xml:space="preserve"> </v>
      </c>
      <c r="D109" s="28" t="str">
        <f>IF(Interface!E64=0," ",Interface!E64)</f>
        <v xml:space="preserve"> </v>
      </c>
      <c r="E109" s="28" t="str">
        <f>IF(Interface!F64=0," ",Interface!F64)</f>
        <v xml:space="preserve"> </v>
      </c>
    </row>
    <row r="110" spans="1:5" x14ac:dyDescent="0.3">
      <c r="A110" s="28" t="str">
        <f>IF(Interface!B65=0," ",Interface!B65)</f>
        <v xml:space="preserve"> </v>
      </c>
      <c r="B110" s="28" t="str">
        <f>IF(Interface!C65=0," ",Interface!C65)</f>
        <v xml:space="preserve"> </v>
      </c>
      <c r="C110" s="28" t="str">
        <f>IF(Interface!D65=0," ",Interface!D65)</f>
        <v xml:space="preserve"> </v>
      </c>
      <c r="D110" s="28" t="str">
        <f>IF(Interface!E65=0," ",Interface!E65)</f>
        <v xml:space="preserve"> </v>
      </c>
      <c r="E110" s="28" t="str">
        <f>IF(Interface!F65=0," ",Interface!F65)</f>
        <v xml:space="preserve"> </v>
      </c>
    </row>
    <row r="111" spans="1:5" x14ac:dyDescent="0.3">
      <c r="A111" s="28" t="str">
        <f>IF(Interface!B66=0," ",Interface!B66)</f>
        <v xml:space="preserve"> </v>
      </c>
      <c r="B111" s="28" t="str">
        <f>IF(Interface!C66=0," ",Interface!C66)</f>
        <v xml:space="preserve"> </v>
      </c>
      <c r="C111" s="28" t="str">
        <f>IF(Interface!D66=0," ",Interface!D66)</f>
        <v xml:space="preserve"> </v>
      </c>
      <c r="D111" s="28" t="str">
        <f>IF(Interface!E66=0," ",Interface!E66)</f>
        <v xml:space="preserve"> </v>
      </c>
      <c r="E111" s="28" t="str">
        <f>IF(Interface!F66=0," ",Interface!F66)</f>
        <v xml:space="preserve"> </v>
      </c>
    </row>
    <row r="112" spans="1:5" x14ac:dyDescent="0.3">
      <c r="A112" s="28" t="str">
        <f>IF(Interface!B67=0," ",Interface!B67)</f>
        <v xml:space="preserve"> </v>
      </c>
      <c r="B112" s="28" t="str">
        <f>IF(Interface!C67=0," ",Interface!C67)</f>
        <v xml:space="preserve"> </v>
      </c>
      <c r="C112" s="28" t="str">
        <f>IF(Interface!D67=0," ",Interface!D67)</f>
        <v xml:space="preserve"> </v>
      </c>
      <c r="D112" s="28" t="str">
        <f>IF(Interface!E67=0," ",Interface!E67)</f>
        <v xml:space="preserve"> </v>
      </c>
      <c r="E112" s="28" t="str">
        <f>IF(Interface!F67=0," ",Interface!F67)</f>
        <v xml:space="preserve"> </v>
      </c>
    </row>
    <row r="113" spans="1:5" x14ac:dyDescent="0.3">
      <c r="A113" s="28" t="str">
        <f>IF(Interface!B68=0," ",Interface!B68)</f>
        <v xml:space="preserve"> </v>
      </c>
      <c r="B113" s="28" t="str">
        <f>IF(Interface!C68=0," ",Interface!C68)</f>
        <v xml:space="preserve"> </v>
      </c>
      <c r="C113" s="28" t="str">
        <f>IF(Interface!D68=0," ",Interface!D68)</f>
        <v xml:space="preserve"> </v>
      </c>
      <c r="D113" s="28" t="str">
        <f>IF(Interface!E68=0," ",Interface!E68)</f>
        <v xml:space="preserve"> </v>
      </c>
      <c r="E113" s="28" t="str">
        <f>IF(Interface!F68=0," ",Interface!F68)</f>
        <v xml:space="preserve"> </v>
      </c>
    </row>
    <row r="114" spans="1:5" x14ac:dyDescent="0.3">
      <c r="A114" s="28" t="str">
        <f>IF(Interface!B69=0," ",Interface!B69)</f>
        <v xml:space="preserve"> </v>
      </c>
      <c r="B114" s="28" t="str">
        <f>IF(Interface!C69=0," ",Interface!C69)</f>
        <v xml:space="preserve"> </v>
      </c>
      <c r="C114" s="28" t="str">
        <f>IF(Interface!D69=0," ",Interface!D69)</f>
        <v xml:space="preserve"> </v>
      </c>
      <c r="D114" s="28" t="str">
        <f>IF(Interface!E69=0," ",Interface!E69)</f>
        <v xml:space="preserve"> </v>
      </c>
      <c r="E114" s="28" t="str">
        <f>IF(Interface!F69=0," ",Interface!F69)</f>
        <v xml:space="preserve"> </v>
      </c>
    </row>
    <row r="115" spans="1:5" x14ac:dyDescent="0.3">
      <c r="A115" s="28" t="str">
        <f>IF(Interface!B70=0," ",Interface!B70)</f>
        <v xml:space="preserve"> </v>
      </c>
      <c r="B115" s="28" t="str">
        <f>IF(Interface!C70=0," ",Interface!C70)</f>
        <v xml:space="preserve"> </v>
      </c>
      <c r="C115" s="28" t="str">
        <f>IF(Interface!D70=0," ",Interface!D70)</f>
        <v xml:space="preserve"> </v>
      </c>
      <c r="D115" s="28" t="str">
        <f>IF(Interface!E70=0," ",Interface!E70)</f>
        <v xml:space="preserve"> </v>
      </c>
      <c r="E115" s="28" t="str">
        <f>IF(Interface!F70=0," ",Interface!F70)</f>
        <v xml:space="preserve"> </v>
      </c>
    </row>
    <row r="116" spans="1:5" x14ac:dyDescent="0.3">
      <c r="A116" s="28" t="str">
        <f>IF(Interface!B71=0," ",Interface!B71)</f>
        <v xml:space="preserve"> </v>
      </c>
      <c r="B116" s="28" t="str">
        <f>IF(Interface!C71=0," ",Interface!C71)</f>
        <v xml:space="preserve"> </v>
      </c>
      <c r="C116" s="28" t="str">
        <f>IF(Interface!D71=0," ",Interface!D71)</f>
        <v xml:space="preserve"> </v>
      </c>
      <c r="D116" s="28" t="str">
        <f>IF(Interface!E71=0," ",Interface!E71)</f>
        <v xml:space="preserve"> </v>
      </c>
      <c r="E116" s="28" t="str">
        <f>IF(Interface!F71=0," ",Interface!F71)</f>
        <v xml:space="preserve"> </v>
      </c>
    </row>
    <row r="117" spans="1:5" x14ac:dyDescent="0.3">
      <c r="A117" s="28" t="str">
        <f>IF(Interface!B72=0," ",Interface!B72)</f>
        <v xml:space="preserve"> </v>
      </c>
      <c r="B117" s="28" t="str">
        <f>IF(Interface!C72=0," ",Interface!C72)</f>
        <v xml:space="preserve"> </v>
      </c>
      <c r="C117" s="28" t="str">
        <f>IF(Interface!D72=0," ",Interface!D72)</f>
        <v xml:space="preserve"> </v>
      </c>
      <c r="D117" s="28" t="str">
        <f>IF(Interface!E72=0," ",Interface!E72)</f>
        <v xml:space="preserve"> </v>
      </c>
      <c r="E117" s="28" t="str">
        <f>IF(Interface!F72=0," ",Interface!F72)</f>
        <v xml:space="preserve"> </v>
      </c>
    </row>
    <row r="118" spans="1:5" x14ac:dyDescent="0.3">
      <c r="A118" s="28" t="str">
        <f>IF(Interface!B73=0," ",Interface!B73)</f>
        <v xml:space="preserve"> </v>
      </c>
      <c r="B118" s="28" t="str">
        <f>IF(Interface!C73=0," ",Interface!C73)</f>
        <v xml:space="preserve"> </v>
      </c>
      <c r="C118" s="28" t="str">
        <f>IF(Interface!D73=0," ",Interface!D73)</f>
        <v xml:space="preserve"> </v>
      </c>
      <c r="D118" s="28" t="str">
        <f>IF(Interface!E73=0," ",Interface!E73)</f>
        <v xml:space="preserve"> </v>
      </c>
      <c r="E118" s="28" t="str">
        <f>IF(Interface!F73=0," ",Interface!F73)</f>
        <v xml:space="preserve"> </v>
      </c>
    </row>
    <row r="119" spans="1:5" x14ac:dyDescent="0.3">
      <c r="A119" s="28" t="str">
        <f>IF(Interface!B74=0," ",Interface!B74)</f>
        <v xml:space="preserve"> </v>
      </c>
      <c r="B119" s="28" t="str">
        <f>IF(Interface!C74=0," ",Interface!C74)</f>
        <v xml:space="preserve"> </v>
      </c>
      <c r="C119" s="28" t="str">
        <f>IF(Interface!D74=0," ",Interface!D74)</f>
        <v xml:space="preserve"> </v>
      </c>
      <c r="D119" s="28" t="str">
        <f>IF(Interface!E74=0," ",Interface!E74)</f>
        <v xml:space="preserve"> </v>
      </c>
      <c r="E119" s="28" t="str">
        <f>IF(Interface!F74=0," ",Interface!F74)</f>
        <v xml:space="preserve"> </v>
      </c>
    </row>
    <row r="120" spans="1:5" x14ac:dyDescent="0.3">
      <c r="A120" s="28" t="str">
        <f>IF(Interface!B75=0," ",Interface!B75)</f>
        <v xml:space="preserve"> </v>
      </c>
      <c r="B120" s="28" t="str">
        <f>IF(Interface!C75=0," ",Interface!C75)</f>
        <v xml:space="preserve"> </v>
      </c>
      <c r="C120" s="28" t="str">
        <f>IF(Interface!D75=0," ",Interface!D75)</f>
        <v xml:space="preserve"> </v>
      </c>
      <c r="D120" s="28" t="str">
        <f>IF(Interface!E75=0," ",Interface!E75)</f>
        <v xml:space="preserve"> </v>
      </c>
      <c r="E120" s="28" t="str">
        <f>IF(Interface!F75=0," ",Interface!F75)</f>
        <v xml:space="preserve"> </v>
      </c>
    </row>
    <row r="121" spans="1:5" x14ac:dyDescent="0.3">
      <c r="A121" s="28" t="str">
        <f>IF(Interface!B76=0," ",Interface!B76)</f>
        <v xml:space="preserve"> </v>
      </c>
      <c r="B121" s="28" t="str">
        <f>IF(Interface!C76=0," ",Interface!C76)</f>
        <v xml:space="preserve"> </v>
      </c>
      <c r="C121" s="28" t="str">
        <f>IF(Interface!D76=0," ",Interface!D76)</f>
        <v xml:space="preserve"> </v>
      </c>
      <c r="D121" s="28" t="str">
        <f>IF(Interface!E76=0," ",Interface!E76)</f>
        <v xml:space="preserve"> </v>
      </c>
      <c r="E121" s="28" t="str">
        <f>IF(Interface!F76=0," ",Interface!F76)</f>
        <v xml:space="preserve"> </v>
      </c>
    </row>
    <row r="122" spans="1:5" x14ac:dyDescent="0.3">
      <c r="A122" s="28" t="str">
        <f>IF(Interface!B77=0," ",Interface!B77)</f>
        <v xml:space="preserve"> </v>
      </c>
      <c r="B122" s="28" t="str">
        <f>IF(Interface!C77=0," ",Interface!C77)</f>
        <v xml:space="preserve"> </v>
      </c>
      <c r="C122" s="28" t="str">
        <f>IF(Interface!D77=0," ",Interface!D77)</f>
        <v xml:space="preserve"> </v>
      </c>
      <c r="D122" s="28" t="str">
        <f>IF(Interface!E77=0," ",Interface!E77)</f>
        <v xml:space="preserve"> </v>
      </c>
      <c r="E122" s="28" t="str">
        <f>IF(Interface!F77=0," ",Interface!F77)</f>
        <v xml:space="preserve"> </v>
      </c>
    </row>
    <row r="123" spans="1:5" x14ac:dyDescent="0.3">
      <c r="A123" s="28" t="str">
        <f>IF(Interface!B78=0," ",Interface!B78)</f>
        <v xml:space="preserve"> </v>
      </c>
      <c r="B123" s="28" t="str">
        <f>IF(Interface!C78=0," ",Interface!C78)</f>
        <v xml:space="preserve"> </v>
      </c>
      <c r="C123" s="28" t="str">
        <f>IF(Interface!D78=0," ",Interface!D78)</f>
        <v xml:space="preserve"> </v>
      </c>
      <c r="D123" s="28" t="str">
        <f>IF(Interface!E78=0," ",Interface!E78)</f>
        <v xml:space="preserve"> </v>
      </c>
      <c r="E123" s="28" t="str">
        <f>IF(Interface!F78=0," ",Interface!F78)</f>
        <v xml:space="preserve"> </v>
      </c>
    </row>
    <row r="124" spans="1:5" x14ac:dyDescent="0.3">
      <c r="A124" s="28" t="str">
        <f>IF(Interface!B79=0," ",Interface!B79)</f>
        <v xml:space="preserve"> </v>
      </c>
      <c r="B124" s="28" t="str">
        <f>IF(Interface!C79=0," ",Interface!C79)</f>
        <v xml:space="preserve"> </v>
      </c>
      <c r="C124" s="28" t="str">
        <f>IF(Interface!D79=0," ",Interface!D79)</f>
        <v xml:space="preserve"> </v>
      </c>
      <c r="D124" s="28" t="str">
        <f>IF(Interface!E79=0," ",Interface!E79)</f>
        <v xml:space="preserve"> </v>
      </c>
      <c r="E124" s="28" t="str">
        <f>IF(Interface!F79=0," ",Interface!F79)</f>
        <v xml:space="preserve"> </v>
      </c>
    </row>
    <row r="125" spans="1:5" x14ac:dyDescent="0.3">
      <c r="A125" s="28" t="str">
        <f>IF(Interface!B80=0," ",Interface!B80)</f>
        <v xml:space="preserve"> </v>
      </c>
      <c r="B125" s="28" t="str">
        <f>IF(Interface!C80=0," ",Interface!C80)</f>
        <v xml:space="preserve"> </v>
      </c>
      <c r="C125" s="28" t="str">
        <f>IF(Interface!D80=0," ",Interface!D80)</f>
        <v xml:space="preserve"> </v>
      </c>
      <c r="D125" s="28" t="str">
        <f>IF(Interface!E80=0," ",Interface!E80)</f>
        <v xml:space="preserve"> </v>
      </c>
      <c r="E125" s="28" t="str">
        <f>IF(Interface!F80=0," ",Interface!F80)</f>
        <v xml:space="preserve"> </v>
      </c>
    </row>
    <row r="126" spans="1:5" x14ac:dyDescent="0.3">
      <c r="A126" s="28" t="str">
        <f>IF(Interface!B81=0," ",Interface!B81)</f>
        <v xml:space="preserve"> </v>
      </c>
      <c r="B126" s="28" t="str">
        <f>IF(Interface!C81=0," ",Interface!C81)</f>
        <v xml:space="preserve"> </v>
      </c>
      <c r="C126" s="28" t="str">
        <f>IF(Interface!D81=0," ",Interface!D81)</f>
        <v xml:space="preserve"> </v>
      </c>
      <c r="D126" s="28" t="str">
        <f>IF(Interface!E81=0," ",Interface!E81)</f>
        <v xml:space="preserve"> </v>
      </c>
      <c r="E126" s="28" t="str">
        <f>IF(Interface!F81=0," ",Interface!F81)</f>
        <v xml:space="preserve"> </v>
      </c>
    </row>
    <row r="127" spans="1:5" x14ac:dyDescent="0.3">
      <c r="A127" s="28" t="str">
        <f>IF(Interface!B82=0," ",Interface!B82)</f>
        <v xml:space="preserve"> </v>
      </c>
      <c r="B127" s="28" t="str">
        <f>IF(Interface!C82=0," ",Interface!C82)</f>
        <v xml:space="preserve"> </v>
      </c>
      <c r="C127" s="28" t="str">
        <f>IF(Interface!D82=0," ",Interface!D82)</f>
        <v xml:space="preserve"> </v>
      </c>
      <c r="D127" s="28" t="str">
        <f>IF(Interface!E82=0," ",Interface!E82)</f>
        <v xml:space="preserve"> </v>
      </c>
      <c r="E127" s="28" t="str">
        <f>IF(Interface!F82=0," ",Interface!F82)</f>
        <v xml:space="preserve"> </v>
      </c>
    </row>
    <row r="128" spans="1:5" x14ac:dyDescent="0.3">
      <c r="A128" s="28" t="str">
        <f>IF(Interface!B83=0," ",Interface!B83)</f>
        <v xml:space="preserve"> </v>
      </c>
      <c r="B128" s="28" t="str">
        <f>IF(Interface!C83=0," ",Interface!C83)</f>
        <v xml:space="preserve"> </v>
      </c>
      <c r="C128" s="28" t="str">
        <f>IF(Interface!D83=0," ",Interface!D83)</f>
        <v xml:space="preserve"> </v>
      </c>
      <c r="D128" s="28" t="str">
        <f>IF(Interface!E83=0," ",Interface!E83)</f>
        <v xml:space="preserve"> </v>
      </c>
      <c r="E128" s="28" t="str">
        <f>IF(Interface!F83=0," ",Interface!F83)</f>
        <v xml:space="preserve"> </v>
      </c>
    </row>
    <row r="129" spans="1:5" x14ac:dyDescent="0.3">
      <c r="A129" s="28" t="str">
        <f>IF(Interface!B84=0," ",Interface!B84)</f>
        <v xml:space="preserve"> </v>
      </c>
      <c r="B129" s="28" t="str">
        <f>IF(Interface!C84=0," ",Interface!C84)</f>
        <v xml:space="preserve"> </v>
      </c>
      <c r="C129" s="28" t="str">
        <f>IF(Interface!D84=0," ",Interface!D84)</f>
        <v xml:space="preserve"> </v>
      </c>
      <c r="D129" s="28" t="str">
        <f>IF(Interface!E84=0," ",Interface!E84)</f>
        <v xml:space="preserve"> </v>
      </c>
      <c r="E129" s="28" t="str">
        <f>IF(Interface!F84=0," ",Interface!F84)</f>
        <v xml:space="preserve"> </v>
      </c>
    </row>
    <row r="130" spans="1:5" x14ac:dyDescent="0.3">
      <c r="A130" s="28" t="str">
        <f>IF(Interface!B85=0," ",Interface!B85)</f>
        <v xml:space="preserve"> </v>
      </c>
      <c r="B130" s="28" t="str">
        <f>IF(Interface!C85=0," ",Interface!C85)</f>
        <v xml:space="preserve"> </v>
      </c>
      <c r="C130" s="28" t="str">
        <f>IF(Interface!D85=0," ",Interface!D85)</f>
        <v xml:space="preserve"> </v>
      </c>
      <c r="D130" s="28" t="str">
        <f>IF(Interface!E85=0," ",Interface!E85)</f>
        <v xml:space="preserve"> </v>
      </c>
      <c r="E130" s="28" t="str">
        <f>IF(Interface!F85=0," ",Interface!F85)</f>
        <v xml:space="preserve"> </v>
      </c>
    </row>
    <row r="131" spans="1:5" x14ac:dyDescent="0.3">
      <c r="A131" s="28" t="str">
        <f>IF(Interface!B86=0," ",Interface!B86)</f>
        <v xml:space="preserve"> </v>
      </c>
      <c r="B131" s="28" t="str">
        <f>IF(Interface!C86=0," ",Interface!C86)</f>
        <v xml:space="preserve"> </v>
      </c>
      <c r="C131" s="28" t="str">
        <f>IF(Interface!D86=0," ",Interface!D86)</f>
        <v xml:space="preserve"> </v>
      </c>
      <c r="D131" s="28" t="str">
        <f>IF(Interface!E86=0," ",Interface!E86)</f>
        <v xml:space="preserve"> </v>
      </c>
      <c r="E131" s="28" t="str">
        <f>IF(Interface!F86=0," ",Interface!F86)</f>
        <v xml:space="preserve"> </v>
      </c>
    </row>
    <row r="132" spans="1:5" x14ac:dyDescent="0.3">
      <c r="A132" s="28" t="str">
        <f>IF(Interface!B87=0," ",Interface!B87)</f>
        <v xml:space="preserve"> </v>
      </c>
      <c r="B132" s="28" t="str">
        <f>IF(Interface!C87=0," ",Interface!C87)</f>
        <v xml:space="preserve"> </v>
      </c>
      <c r="C132" s="28" t="str">
        <f>IF(Interface!D87=0," ",Interface!D87)</f>
        <v xml:space="preserve"> </v>
      </c>
      <c r="D132" s="28" t="str">
        <f>IF(Interface!E87=0," ",Interface!E87)</f>
        <v xml:space="preserve"> </v>
      </c>
      <c r="E132" s="28" t="str">
        <f>IF(Interface!F87=0," ",Interface!F87)</f>
        <v xml:space="preserve"> </v>
      </c>
    </row>
    <row r="133" spans="1:5" x14ac:dyDescent="0.3">
      <c r="A133" s="28" t="str">
        <f>IF(Interface!B88=0," ",Interface!B88)</f>
        <v xml:space="preserve"> </v>
      </c>
      <c r="B133" s="28" t="str">
        <f>IF(Interface!C88=0," ",Interface!C88)</f>
        <v xml:space="preserve"> </v>
      </c>
      <c r="C133" s="28" t="str">
        <f>IF(Interface!D88=0," ",Interface!D88)</f>
        <v xml:space="preserve"> </v>
      </c>
      <c r="D133" s="28" t="str">
        <f>IF(Interface!E88=0," ",Interface!E88)</f>
        <v xml:space="preserve"> </v>
      </c>
      <c r="E133" s="28" t="str">
        <f>IF(Interface!F88=0," ",Interface!F88)</f>
        <v xml:space="preserve"> </v>
      </c>
    </row>
    <row r="134" spans="1:5" x14ac:dyDescent="0.3">
      <c r="A134" s="28" t="str">
        <f>IF(Interface!B89=0," ",Interface!B89)</f>
        <v xml:space="preserve"> </v>
      </c>
      <c r="B134" s="28" t="str">
        <f>IF(Interface!C89=0," ",Interface!C89)</f>
        <v xml:space="preserve"> </v>
      </c>
      <c r="C134" s="28" t="str">
        <f>IF(Interface!D89=0," ",Interface!D89)</f>
        <v xml:space="preserve"> </v>
      </c>
      <c r="D134" s="28" t="str">
        <f>IF(Interface!E89=0," ",Interface!E89)</f>
        <v xml:space="preserve"> </v>
      </c>
      <c r="E134" s="28" t="str">
        <f>IF(Interface!F89=0," ",Interface!F89)</f>
        <v xml:space="preserve"> </v>
      </c>
    </row>
    <row r="135" spans="1:5" x14ac:dyDescent="0.3">
      <c r="A135" s="28" t="str">
        <f>IF(Interface!B90=0," ",Interface!B90)</f>
        <v xml:space="preserve"> </v>
      </c>
      <c r="B135" s="28" t="str">
        <f>IF(Interface!C90=0," ",Interface!C90)</f>
        <v xml:space="preserve"> </v>
      </c>
      <c r="C135" s="28" t="str">
        <f>IF(Interface!D90=0," ",Interface!D90)</f>
        <v xml:space="preserve"> </v>
      </c>
      <c r="D135" s="28" t="str">
        <f>IF(Interface!E90=0," ",Interface!E90)</f>
        <v xml:space="preserve"> </v>
      </c>
      <c r="E135" s="28" t="str">
        <f>IF(Interface!F90=0," ",Interface!F90)</f>
        <v xml:space="preserve"> </v>
      </c>
    </row>
    <row r="136" spans="1:5" x14ac:dyDescent="0.3">
      <c r="A136" s="28" t="str">
        <f>IF(Interface!B91=0," ",Interface!B91)</f>
        <v xml:space="preserve"> </v>
      </c>
      <c r="B136" s="28" t="str">
        <f>IF(Interface!C91=0," ",Interface!C91)</f>
        <v xml:space="preserve"> </v>
      </c>
      <c r="C136" s="28" t="str">
        <f>IF(Interface!D91=0," ",Interface!D91)</f>
        <v xml:space="preserve"> </v>
      </c>
      <c r="D136" s="28" t="str">
        <f>IF(Interface!E91=0," ",Interface!E91)</f>
        <v xml:space="preserve"> </v>
      </c>
      <c r="E136" s="28" t="str">
        <f>IF(Interface!F91=0," ",Interface!F91)</f>
        <v xml:space="preserve"> </v>
      </c>
    </row>
    <row r="137" spans="1:5" x14ac:dyDescent="0.3">
      <c r="A137" s="28" t="str">
        <f>IF(Interface!B92=0," ",Interface!B92)</f>
        <v xml:space="preserve"> </v>
      </c>
      <c r="B137" s="28" t="str">
        <f>IF(Interface!C92=0," ",Interface!C92)</f>
        <v xml:space="preserve"> </v>
      </c>
      <c r="C137" s="28" t="str">
        <f>IF(Interface!D92=0," ",Interface!D92)</f>
        <v xml:space="preserve"> </v>
      </c>
      <c r="D137" s="28" t="str">
        <f>IF(Interface!E92=0," ",Interface!E92)</f>
        <v xml:space="preserve"> </v>
      </c>
      <c r="E137" s="28" t="str">
        <f>IF(Interface!F92=0," ",Interface!F92)</f>
        <v xml:space="preserve"> </v>
      </c>
    </row>
    <row r="138" spans="1:5" x14ac:dyDescent="0.3">
      <c r="A138" s="28" t="str">
        <f>IF(Interface!B93=0," ",Interface!B93)</f>
        <v xml:space="preserve"> </v>
      </c>
      <c r="B138" s="28" t="str">
        <f>IF(Interface!C93=0," ",Interface!C93)</f>
        <v xml:space="preserve"> </v>
      </c>
      <c r="C138" s="28" t="str">
        <f>IF(Interface!D93=0," ",Interface!D93)</f>
        <v xml:space="preserve"> </v>
      </c>
      <c r="D138" s="28" t="str">
        <f>IF(Interface!E93=0," ",Interface!E93)</f>
        <v xml:space="preserve"> </v>
      </c>
      <c r="E138" s="28" t="str">
        <f>IF(Interface!F93=0," ",Interface!F93)</f>
        <v xml:space="preserve"> </v>
      </c>
    </row>
    <row r="139" spans="1:5" x14ac:dyDescent="0.3">
      <c r="A139" s="28" t="str">
        <f>IF(Interface!B94=0," ",Interface!B94)</f>
        <v xml:space="preserve"> </v>
      </c>
      <c r="B139" s="28" t="str">
        <f>IF(Interface!C94=0," ",Interface!C94)</f>
        <v xml:space="preserve"> </v>
      </c>
      <c r="C139" s="28" t="str">
        <f>IF(Interface!D94=0," ",Interface!D94)</f>
        <v xml:space="preserve"> </v>
      </c>
      <c r="D139" s="28" t="str">
        <f>IF(Interface!E94=0," ",Interface!E94)</f>
        <v xml:space="preserve"> </v>
      </c>
      <c r="E139" s="28" t="str">
        <f>IF(Interface!F94=0," ",Interface!F94)</f>
        <v xml:space="preserve"> </v>
      </c>
    </row>
  </sheetData>
  <mergeCells count="16">
    <mergeCell ref="A40:E44"/>
    <mergeCell ref="A12:F13"/>
    <mergeCell ref="A1:C1"/>
    <mergeCell ref="A2:F3"/>
    <mergeCell ref="A6:F7"/>
    <mergeCell ref="A8:F9"/>
    <mergeCell ref="A10:F11"/>
    <mergeCell ref="C37:D37"/>
    <mergeCell ref="C38:D38"/>
    <mergeCell ref="C39:D39"/>
    <mergeCell ref="A14:F15"/>
    <mergeCell ref="B16:F16"/>
    <mergeCell ref="B17:F17"/>
    <mergeCell ref="C35:D35"/>
    <mergeCell ref="C36:D36"/>
    <mergeCell ref="A4:F5"/>
  </mergeCells>
  <conditionalFormatting sqref="B31">
    <cfRule type="cellIs" dxfId="35" priority="71" operator="equal">
      <formula>"Other"</formula>
    </cfRule>
    <cfRule type="cellIs" dxfId="34" priority="72" operator="equal">
      <formula>"ELPE"</formula>
    </cfRule>
    <cfRule type="cellIs" dxfId="33" priority="73" operator="equal">
      <formula>"Yes"</formula>
    </cfRule>
    <cfRule type="cellIs" dxfId="32" priority="74" operator="equal">
      <formula>"No"</formula>
    </cfRule>
  </conditionalFormatting>
  <conditionalFormatting sqref="B30">
    <cfRule type="cellIs" dxfId="31" priority="68" operator="between">
      <formula>SCIMax/2</formula>
      <formula>SCIMax</formula>
    </cfRule>
    <cfRule type="cellIs" dxfId="30" priority="69" operator="lessThan">
      <formula>SCIMax/2</formula>
    </cfRule>
    <cfRule type="cellIs" dxfId="29" priority="70" operator="greaterThan">
      <formula>SCIMax</formula>
    </cfRule>
  </conditionalFormatting>
  <conditionalFormatting sqref="B29">
    <cfRule type="cellIs" dxfId="28" priority="65" operator="between">
      <formula>FailMax/2</formula>
      <formula>FailMax</formula>
    </cfRule>
    <cfRule type="cellIs" dxfId="27" priority="66" operator="lessThanOrEqual">
      <formula>FailMax/2</formula>
    </cfRule>
    <cfRule type="cellIs" dxfId="26" priority="67" operator="greaterThan">
      <formula>FailMax</formula>
    </cfRule>
  </conditionalFormatting>
  <conditionalFormatting sqref="B26">
    <cfRule type="cellIs" dxfId="25" priority="63" operator="lessThan">
      <formula>ThreeHunMin</formula>
    </cfRule>
    <cfRule type="cellIs" dxfId="24" priority="64" operator="greaterThanOrEqual">
      <formula>ThreeHunMin</formula>
    </cfRule>
  </conditionalFormatting>
  <conditionalFormatting sqref="B25">
    <cfRule type="cellIs" dxfId="23" priority="61" operator="lessThan">
      <formula>8</formula>
    </cfRule>
    <cfRule type="cellIs" dxfId="22" priority="62" operator="greaterThanOrEqual">
      <formula>8</formula>
    </cfRule>
  </conditionalFormatting>
  <conditionalFormatting sqref="B24">
    <cfRule type="cellIs" dxfId="21" priority="59" operator="lessThan">
      <formula>ScienceMin</formula>
    </cfRule>
    <cfRule type="cellIs" dxfId="20" priority="60" operator="greaterThanOrEqual">
      <formula>ScienceMin</formula>
    </cfRule>
  </conditionalFormatting>
  <conditionalFormatting sqref="B23">
    <cfRule type="cellIs" dxfId="19" priority="57" operator="lessThan">
      <formula>LECMin</formula>
    </cfRule>
    <cfRule type="cellIs" dxfId="18" priority="58" operator="greaterThanOrEqual">
      <formula>LECMin</formula>
    </cfRule>
  </conditionalFormatting>
  <conditionalFormatting sqref="B22">
    <cfRule type="cellIs" dxfId="17" priority="55" operator="lessThan">
      <formula>TotalMin</formula>
    </cfRule>
    <cfRule type="cellIs" dxfId="16" priority="56" operator="greaterThanOrEqual">
      <formula>TotalMin</formula>
    </cfRule>
  </conditionalFormatting>
  <conditionalFormatting sqref="B32">
    <cfRule type="cellIs" dxfId="15" priority="53" operator="equal">
      <formula>"Chemistry"</formula>
    </cfRule>
    <cfRule type="cellIs" dxfId="14" priority="54" operator="equal">
      <formula>"CHEM"</formula>
    </cfRule>
  </conditionalFormatting>
  <conditionalFormatting sqref="C32">
    <cfRule type="cellIs" dxfId="13" priority="51" operator="equal">
      <formula>"Earth Science"</formula>
    </cfRule>
    <cfRule type="cellIs" dxfId="12" priority="52" operator="equal">
      <formula>"EARTH"</formula>
    </cfRule>
  </conditionalFormatting>
  <conditionalFormatting sqref="D32">
    <cfRule type="cellIs" dxfId="11" priority="49" operator="equal">
      <formula>"Physics"</formula>
    </cfRule>
    <cfRule type="cellIs" dxfId="10" priority="50" operator="equal">
      <formula>"PHYS"</formula>
    </cfRule>
  </conditionalFormatting>
  <conditionalFormatting sqref="E32">
    <cfRule type="cellIs" dxfId="9" priority="47" operator="equal">
      <formula>"Biology"</formula>
    </cfRule>
    <cfRule type="cellIs" dxfId="8" priority="48" operator="equal">
      <formula>"BIOL"</formula>
    </cfRule>
  </conditionalFormatting>
  <conditionalFormatting sqref="B27">
    <cfRule type="cellIs" dxfId="7" priority="45" operator="lessThan">
      <formula>MathMin</formula>
    </cfRule>
    <cfRule type="cellIs" dxfId="6" priority="46" operator="greaterThanOrEqual">
      <formula>MathMin</formula>
    </cfRule>
  </conditionalFormatting>
  <conditionalFormatting sqref="B28">
    <cfRule type="cellIs" dxfId="5" priority="43" operator="greaterThan">
      <formula>LabsMax</formula>
    </cfRule>
    <cfRule type="cellIs" dxfId="4" priority="44" operator="lessThanOrEqual">
      <formula>LabsMax</formula>
    </cfRule>
  </conditionalFormatting>
  <conditionalFormatting sqref="B18:B19">
    <cfRule type="cellIs" dxfId="3" priority="41" operator="lessThan">
      <formula>SciAvg</formula>
    </cfRule>
    <cfRule type="cellIs" dxfId="2" priority="42" operator="greaterThanOrEqual">
      <formula>SciAvg</formula>
    </cfRule>
  </conditionalFormatting>
  <conditionalFormatting sqref="C35:C39">
    <cfRule type="cellIs" dxfId="1" priority="2" operator="equal">
      <formula>"Enter details before printing"</formula>
    </cfRule>
  </conditionalFormatting>
  <conditionalFormatting sqref="C35:D36">
    <cfRule type="cellIs" dxfId="0" priority="1" operator="notEqual">
      <formula>"Enter details before printing"</formula>
    </cfRule>
  </conditionalFormatting>
  <dataValidations count="2">
    <dataValidation type="list" allowBlank="1" showInputMessage="1" showErrorMessage="1" sqref="B31" xr:uid="{00000000-0002-0000-0100-000000000000}">
      <formula1>YesNo</formula1>
    </dataValidation>
    <dataValidation type="list" allowBlank="1" showInputMessage="1" showErrorMessage="1" sqref="E33:E34" xr:uid="{00000000-0002-0000-0100-000001000000}">
      <formula1>BIOLlist</formula1>
    </dataValidation>
  </dataValidation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127"/>
  <sheetViews>
    <sheetView workbookViewId="0">
      <selection activeCell="I22" sqref="I22"/>
    </sheetView>
  </sheetViews>
  <sheetFormatPr defaultColWidth="8.88671875" defaultRowHeight="14.4" x14ac:dyDescent="0.3"/>
  <cols>
    <col min="1" max="1" width="11.44140625" customWidth="1"/>
  </cols>
  <sheetData>
    <row r="1" spans="1:13" x14ac:dyDescent="0.3">
      <c r="A1" t="s">
        <v>31</v>
      </c>
      <c r="B1" t="s">
        <v>16</v>
      </c>
      <c r="C1" t="s">
        <v>1</v>
      </c>
      <c r="D1" t="s">
        <v>29</v>
      </c>
      <c r="E1" t="s">
        <v>209</v>
      </c>
      <c r="F1" t="s">
        <v>38</v>
      </c>
      <c r="G1" t="s">
        <v>39</v>
      </c>
      <c r="H1" t="s">
        <v>40</v>
      </c>
      <c r="I1" t="s">
        <v>41</v>
      </c>
      <c r="J1" t="s">
        <v>257</v>
      </c>
      <c r="K1" t="s">
        <v>175</v>
      </c>
      <c r="L1" t="s">
        <v>176</v>
      </c>
      <c r="M1" t="s">
        <v>128</v>
      </c>
    </row>
    <row r="3" spans="1:13" x14ac:dyDescent="0.3">
      <c r="A3" t="s">
        <v>8</v>
      </c>
      <c r="B3" t="s">
        <v>3</v>
      </c>
      <c r="C3" t="s">
        <v>9</v>
      </c>
      <c r="D3" t="s">
        <v>30</v>
      </c>
      <c r="E3" t="s">
        <v>42</v>
      </c>
      <c r="F3" t="s">
        <v>42</v>
      </c>
      <c r="G3" t="s">
        <v>52</v>
      </c>
      <c r="H3" t="s">
        <v>249</v>
      </c>
      <c r="I3" t="s">
        <v>115</v>
      </c>
      <c r="J3" t="s">
        <v>255</v>
      </c>
      <c r="K3" t="s">
        <v>3</v>
      </c>
      <c r="L3" t="s">
        <v>216</v>
      </c>
      <c r="M3">
        <v>110</v>
      </c>
    </row>
    <row r="4" spans="1:13" x14ac:dyDescent="0.3">
      <c r="A4" t="s">
        <v>6</v>
      </c>
      <c r="B4" t="s">
        <v>4</v>
      </c>
      <c r="C4" t="s">
        <v>10</v>
      </c>
      <c r="D4" t="s">
        <v>151</v>
      </c>
      <c r="E4" t="s">
        <v>249</v>
      </c>
      <c r="F4" t="s">
        <v>43</v>
      </c>
      <c r="G4" t="s">
        <v>53</v>
      </c>
      <c r="H4" t="s">
        <v>103</v>
      </c>
      <c r="I4" t="s">
        <v>116</v>
      </c>
      <c r="J4" t="s">
        <v>123</v>
      </c>
      <c r="K4" t="s">
        <v>4</v>
      </c>
      <c r="L4" t="s">
        <v>251</v>
      </c>
      <c r="M4">
        <v>120</v>
      </c>
    </row>
    <row r="5" spans="1:13" x14ac:dyDescent="0.3">
      <c r="A5" t="s">
        <v>32</v>
      </c>
      <c r="B5" t="s">
        <v>5</v>
      </c>
      <c r="C5" t="s">
        <v>11</v>
      </c>
      <c r="E5" t="s">
        <v>52</v>
      </c>
      <c r="F5" t="s">
        <v>46</v>
      </c>
      <c r="G5" t="s">
        <v>239</v>
      </c>
      <c r="H5" t="s">
        <v>104</v>
      </c>
      <c r="I5" t="s">
        <v>119</v>
      </c>
      <c r="J5" t="s">
        <v>126</v>
      </c>
      <c r="K5" t="s">
        <v>5</v>
      </c>
      <c r="L5" t="s">
        <v>178</v>
      </c>
      <c r="M5">
        <v>130</v>
      </c>
    </row>
    <row r="6" spans="1:13" x14ac:dyDescent="0.3">
      <c r="A6" t="s">
        <v>33</v>
      </c>
      <c r="B6" t="s">
        <v>6</v>
      </c>
      <c r="C6" t="s">
        <v>227</v>
      </c>
      <c r="E6" t="s">
        <v>35</v>
      </c>
      <c r="F6" t="s">
        <v>44</v>
      </c>
      <c r="G6" t="s">
        <v>54</v>
      </c>
      <c r="H6" t="s">
        <v>204</v>
      </c>
      <c r="I6" t="s">
        <v>117</v>
      </c>
      <c r="J6" t="s">
        <v>255</v>
      </c>
      <c r="K6" t="s">
        <v>203</v>
      </c>
      <c r="L6" t="s">
        <v>177</v>
      </c>
      <c r="M6">
        <v>150</v>
      </c>
    </row>
    <row r="7" spans="1:13" x14ac:dyDescent="0.3">
      <c r="A7" t="s">
        <v>34</v>
      </c>
      <c r="B7" t="s">
        <v>7</v>
      </c>
      <c r="C7" t="s">
        <v>228</v>
      </c>
      <c r="E7" t="s">
        <v>43</v>
      </c>
      <c r="F7" t="s">
        <v>45</v>
      </c>
      <c r="G7" t="s">
        <v>32</v>
      </c>
      <c r="H7" t="s">
        <v>252</v>
      </c>
      <c r="I7" t="s">
        <v>118</v>
      </c>
      <c r="J7" t="s">
        <v>124</v>
      </c>
      <c r="K7" t="s">
        <v>7</v>
      </c>
      <c r="L7" t="s">
        <v>253</v>
      </c>
      <c r="M7">
        <v>165</v>
      </c>
    </row>
    <row r="8" spans="1:13" x14ac:dyDescent="0.3">
      <c r="A8" t="s">
        <v>35</v>
      </c>
      <c r="B8" t="s">
        <v>8</v>
      </c>
      <c r="C8" t="s">
        <v>150</v>
      </c>
      <c r="E8" t="s">
        <v>53</v>
      </c>
      <c r="F8" t="s">
        <v>37</v>
      </c>
      <c r="G8" t="s">
        <v>232</v>
      </c>
      <c r="H8" t="s">
        <v>105</v>
      </c>
      <c r="I8" t="s">
        <v>120</v>
      </c>
      <c r="J8" t="s">
        <v>125</v>
      </c>
      <c r="K8" t="s">
        <v>8</v>
      </c>
      <c r="L8" t="s">
        <v>179</v>
      </c>
      <c r="M8">
        <v>201</v>
      </c>
    </row>
    <row r="9" spans="1:13" x14ac:dyDescent="0.3">
      <c r="C9" t="s">
        <v>149</v>
      </c>
      <c r="E9" t="s">
        <v>54</v>
      </c>
      <c r="F9" t="s">
        <v>47</v>
      </c>
      <c r="G9" t="s">
        <v>216</v>
      </c>
      <c r="H9" t="s">
        <v>107</v>
      </c>
      <c r="I9" t="s">
        <v>122</v>
      </c>
      <c r="L9" t="s">
        <v>202</v>
      </c>
      <c r="M9">
        <v>211</v>
      </c>
    </row>
    <row r="10" spans="1:13" x14ac:dyDescent="0.3">
      <c r="C10" t="s">
        <v>152</v>
      </c>
      <c r="E10" t="s">
        <v>239</v>
      </c>
      <c r="F10" t="s">
        <v>6</v>
      </c>
      <c r="G10" t="s">
        <v>240</v>
      </c>
      <c r="H10" t="s">
        <v>106</v>
      </c>
      <c r="I10" t="s">
        <v>121</v>
      </c>
      <c r="M10">
        <v>239</v>
      </c>
    </row>
    <row r="11" spans="1:13" x14ac:dyDescent="0.3">
      <c r="B11" t="s">
        <v>17</v>
      </c>
      <c r="E11" t="s">
        <v>103</v>
      </c>
      <c r="F11" t="s">
        <v>48</v>
      </c>
      <c r="G11" t="s">
        <v>65</v>
      </c>
      <c r="H11" t="s">
        <v>108</v>
      </c>
      <c r="M11">
        <v>240</v>
      </c>
    </row>
    <row r="12" spans="1:13" x14ac:dyDescent="0.3">
      <c r="E12" t="s">
        <v>32</v>
      </c>
      <c r="F12" t="s">
        <v>49</v>
      </c>
      <c r="G12" t="s">
        <v>64</v>
      </c>
      <c r="H12" t="s">
        <v>109</v>
      </c>
      <c r="M12">
        <v>241</v>
      </c>
    </row>
    <row r="13" spans="1:13" x14ac:dyDescent="0.3">
      <c r="B13" t="s">
        <v>19</v>
      </c>
      <c r="E13" t="s">
        <v>232</v>
      </c>
      <c r="F13" t="s">
        <v>50</v>
      </c>
      <c r="G13" t="s">
        <v>236</v>
      </c>
      <c r="H13" t="s">
        <v>110</v>
      </c>
      <c r="M13">
        <v>266</v>
      </c>
    </row>
    <row r="14" spans="1:13" x14ac:dyDescent="0.3">
      <c r="B14" t="s">
        <v>18</v>
      </c>
      <c r="E14" t="s">
        <v>115</v>
      </c>
      <c r="F14" t="s">
        <v>51</v>
      </c>
      <c r="G14" t="s">
        <v>241</v>
      </c>
      <c r="H14" t="s">
        <v>111</v>
      </c>
      <c r="M14">
        <v>273</v>
      </c>
    </row>
    <row r="15" spans="1:13" x14ac:dyDescent="0.3">
      <c r="B15" t="s">
        <v>20</v>
      </c>
      <c r="E15" t="s">
        <v>204</v>
      </c>
      <c r="G15" t="s">
        <v>55</v>
      </c>
      <c r="H15" t="s">
        <v>112</v>
      </c>
    </row>
    <row r="16" spans="1:13" x14ac:dyDescent="0.3">
      <c r="B16" t="s">
        <v>21</v>
      </c>
      <c r="E16" t="s">
        <v>3</v>
      </c>
      <c r="G16" t="s">
        <v>242</v>
      </c>
      <c r="H16" t="s">
        <v>113</v>
      </c>
    </row>
    <row r="17" spans="1:11" x14ac:dyDescent="0.3">
      <c r="B17" t="s">
        <v>22</v>
      </c>
      <c r="E17" t="s">
        <v>240</v>
      </c>
      <c r="G17" t="s">
        <v>56</v>
      </c>
      <c r="H17" t="s">
        <v>50</v>
      </c>
    </row>
    <row r="18" spans="1:11" x14ac:dyDescent="0.3">
      <c r="B18" t="s">
        <v>23</v>
      </c>
      <c r="E18" t="s">
        <v>252</v>
      </c>
      <c r="G18" t="s">
        <v>62</v>
      </c>
      <c r="H18" t="s">
        <v>114</v>
      </c>
    </row>
    <row r="19" spans="1:11" x14ac:dyDescent="0.3">
      <c r="E19" t="s">
        <v>216</v>
      </c>
      <c r="G19" t="s">
        <v>63</v>
      </c>
    </row>
    <row r="20" spans="1:11" x14ac:dyDescent="0.3">
      <c r="A20" t="s">
        <v>164</v>
      </c>
      <c r="E20" t="s">
        <v>241</v>
      </c>
      <c r="G20" t="s">
        <v>57</v>
      </c>
      <c r="K20" t="s">
        <v>148</v>
      </c>
    </row>
    <row r="21" spans="1:11" x14ac:dyDescent="0.3">
      <c r="A21" t="s">
        <v>165</v>
      </c>
      <c r="B21">
        <v>21</v>
      </c>
      <c r="E21" t="s">
        <v>251</v>
      </c>
      <c r="G21" t="s">
        <v>258</v>
      </c>
      <c r="K21" t="s">
        <v>147</v>
      </c>
    </row>
    <row r="22" spans="1:11" x14ac:dyDescent="0.3">
      <c r="A22" t="s">
        <v>166</v>
      </c>
      <c r="B22">
        <v>19</v>
      </c>
      <c r="E22" t="s">
        <v>104</v>
      </c>
      <c r="G22" t="s">
        <v>58</v>
      </c>
    </row>
    <row r="23" spans="1:11" x14ac:dyDescent="0.3">
      <c r="A23" t="s">
        <v>167</v>
      </c>
      <c r="B23">
        <v>12</v>
      </c>
      <c r="E23" t="s">
        <v>4</v>
      </c>
      <c r="G23" t="s">
        <v>59</v>
      </c>
    </row>
    <row r="24" spans="1:11" x14ac:dyDescent="0.3">
      <c r="A24" t="s">
        <v>168</v>
      </c>
      <c r="B24">
        <v>8</v>
      </c>
      <c r="E24" t="s">
        <v>55</v>
      </c>
      <c r="G24" t="s">
        <v>60</v>
      </c>
    </row>
    <row r="25" spans="1:11" x14ac:dyDescent="0.3">
      <c r="A25" t="s">
        <v>169</v>
      </c>
      <c r="B25">
        <v>4</v>
      </c>
      <c r="E25" t="s">
        <v>242</v>
      </c>
      <c r="G25" t="s">
        <v>61</v>
      </c>
    </row>
    <row r="26" spans="1:11" x14ac:dyDescent="0.3">
      <c r="A26" t="s">
        <v>170</v>
      </c>
      <c r="B26">
        <v>2</v>
      </c>
      <c r="E26" t="s">
        <v>105</v>
      </c>
      <c r="G26" t="s">
        <v>66</v>
      </c>
    </row>
    <row r="27" spans="1:11" x14ac:dyDescent="0.3">
      <c r="A27" t="s">
        <v>171</v>
      </c>
      <c r="B27">
        <v>1</v>
      </c>
      <c r="E27" t="s">
        <v>57</v>
      </c>
      <c r="G27" t="s">
        <v>67</v>
      </c>
    </row>
    <row r="28" spans="1:11" x14ac:dyDescent="0.3">
      <c r="A28" t="s">
        <v>174</v>
      </c>
      <c r="B28">
        <v>32</v>
      </c>
      <c r="E28" t="s">
        <v>46</v>
      </c>
      <c r="G28" t="s">
        <v>254</v>
      </c>
    </row>
    <row r="29" spans="1:11" x14ac:dyDescent="0.3">
      <c r="A29" t="s">
        <v>181</v>
      </c>
      <c r="B29">
        <v>5</v>
      </c>
      <c r="E29" t="s">
        <v>56</v>
      </c>
      <c r="G29" t="s">
        <v>68</v>
      </c>
    </row>
    <row r="30" spans="1:11" x14ac:dyDescent="0.3">
      <c r="A30" t="s">
        <v>182</v>
      </c>
      <c r="B30">
        <v>3</v>
      </c>
      <c r="E30" t="s">
        <v>44</v>
      </c>
      <c r="G30" t="s">
        <v>69</v>
      </c>
    </row>
    <row r="31" spans="1:11" x14ac:dyDescent="0.3">
      <c r="A31" t="s">
        <v>183</v>
      </c>
      <c r="B31">
        <v>60</v>
      </c>
      <c r="E31" t="s">
        <v>45</v>
      </c>
      <c r="G31" t="s">
        <v>233</v>
      </c>
    </row>
    <row r="32" spans="1:11" x14ac:dyDescent="0.3">
      <c r="A32" t="s">
        <v>184</v>
      </c>
      <c r="B32">
        <v>60</v>
      </c>
      <c r="E32" t="s">
        <v>258</v>
      </c>
      <c r="G32" t="s">
        <v>70</v>
      </c>
    </row>
    <row r="33" spans="5:7" x14ac:dyDescent="0.3">
      <c r="E33" t="s">
        <v>58</v>
      </c>
      <c r="G33" t="s">
        <v>71</v>
      </c>
    </row>
    <row r="34" spans="5:7" x14ac:dyDescent="0.3">
      <c r="E34" t="s">
        <v>37</v>
      </c>
      <c r="G34" t="s">
        <v>72</v>
      </c>
    </row>
    <row r="35" spans="5:7" x14ac:dyDescent="0.3">
      <c r="E35" t="s">
        <v>59</v>
      </c>
      <c r="G35" t="s">
        <v>243</v>
      </c>
    </row>
    <row r="36" spans="5:7" x14ac:dyDescent="0.3">
      <c r="E36" t="s">
        <v>60</v>
      </c>
      <c r="G36" t="s">
        <v>244</v>
      </c>
    </row>
    <row r="37" spans="5:7" x14ac:dyDescent="0.3">
      <c r="E37" t="s">
        <v>61</v>
      </c>
      <c r="G37" t="s">
        <v>245</v>
      </c>
    </row>
    <row r="38" spans="5:7" x14ac:dyDescent="0.3">
      <c r="E38" t="s">
        <v>5</v>
      </c>
      <c r="G38" t="s">
        <v>73</v>
      </c>
    </row>
    <row r="39" spans="5:7" x14ac:dyDescent="0.3">
      <c r="E39" t="s">
        <v>62</v>
      </c>
      <c r="G39" t="s">
        <v>74</v>
      </c>
    </row>
    <row r="40" spans="5:7" x14ac:dyDescent="0.3">
      <c r="E40" t="s">
        <v>106</v>
      </c>
      <c r="G40" t="s">
        <v>75</v>
      </c>
    </row>
    <row r="41" spans="5:7" x14ac:dyDescent="0.3">
      <c r="E41" t="s">
        <v>63</v>
      </c>
      <c r="G41" t="s">
        <v>76</v>
      </c>
    </row>
    <row r="42" spans="5:7" x14ac:dyDescent="0.3">
      <c r="E42" t="s">
        <v>236</v>
      </c>
      <c r="G42" t="s">
        <v>77</v>
      </c>
    </row>
    <row r="43" spans="5:7" x14ac:dyDescent="0.3">
      <c r="E43" t="s">
        <v>116</v>
      </c>
      <c r="G43" t="s">
        <v>78</v>
      </c>
    </row>
    <row r="44" spans="5:7" x14ac:dyDescent="0.3">
      <c r="E44" t="s">
        <v>64</v>
      </c>
      <c r="G44" t="s">
        <v>79</v>
      </c>
    </row>
    <row r="45" spans="5:7" x14ac:dyDescent="0.3">
      <c r="E45" t="s">
        <v>107</v>
      </c>
      <c r="G45" t="s">
        <v>80</v>
      </c>
    </row>
    <row r="46" spans="5:7" x14ac:dyDescent="0.3">
      <c r="E46" t="s">
        <v>118</v>
      </c>
      <c r="G46" t="s">
        <v>81</v>
      </c>
    </row>
    <row r="47" spans="5:7" x14ac:dyDescent="0.3">
      <c r="E47" t="s">
        <v>117</v>
      </c>
      <c r="G47" t="s">
        <v>82</v>
      </c>
    </row>
    <row r="48" spans="5:7" x14ac:dyDescent="0.3">
      <c r="E48" t="s">
        <v>65</v>
      </c>
      <c r="G48" t="s">
        <v>83</v>
      </c>
    </row>
    <row r="49" spans="5:7" x14ac:dyDescent="0.3">
      <c r="E49" t="s">
        <v>66</v>
      </c>
      <c r="G49" t="s">
        <v>246</v>
      </c>
    </row>
    <row r="50" spans="5:7" x14ac:dyDescent="0.3">
      <c r="E50" t="s">
        <v>67</v>
      </c>
      <c r="G50" t="s">
        <v>247</v>
      </c>
    </row>
    <row r="51" spans="5:7" x14ac:dyDescent="0.3">
      <c r="E51" t="s">
        <v>254</v>
      </c>
      <c r="G51" t="s">
        <v>248</v>
      </c>
    </row>
    <row r="52" spans="5:7" x14ac:dyDescent="0.3">
      <c r="E52" t="s">
        <v>108</v>
      </c>
      <c r="G52" t="s">
        <v>84</v>
      </c>
    </row>
    <row r="53" spans="5:7" x14ac:dyDescent="0.3">
      <c r="E53" t="s">
        <v>109</v>
      </c>
      <c r="G53" t="s">
        <v>85</v>
      </c>
    </row>
    <row r="54" spans="5:7" x14ac:dyDescent="0.3">
      <c r="E54" t="s">
        <v>119</v>
      </c>
      <c r="G54" t="s">
        <v>86</v>
      </c>
    </row>
    <row r="55" spans="5:7" x14ac:dyDescent="0.3">
      <c r="E55" t="s">
        <v>68</v>
      </c>
      <c r="G55" t="s">
        <v>87</v>
      </c>
    </row>
    <row r="56" spans="5:7" x14ac:dyDescent="0.3">
      <c r="E56" t="s">
        <v>123</v>
      </c>
      <c r="G56" t="s">
        <v>88</v>
      </c>
    </row>
    <row r="57" spans="5:7" x14ac:dyDescent="0.3">
      <c r="E57" t="s">
        <v>69</v>
      </c>
      <c r="G57" t="s">
        <v>89</v>
      </c>
    </row>
    <row r="58" spans="5:7" x14ac:dyDescent="0.3">
      <c r="E58" t="s">
        <v>233</v>
      </c>
      <c r="G58" t="s">
        <v>90</v>
      </c>
    </row>
    <row r="59" spans="5:7" x14ac:dyDescent="0.3">
      <c r="E59" t="s">
        <v>255</v>
      </c>
      <c r="G59" t="s">
        <v>91</v>
      </c>
    </row>
    <row r="60" spans="5:7" x14ac:dyDescent="0.3">
      <c r="E60" t="s">
        <v>70</v>
      </c>
      <c r="G60" t="s">
        <v>36</v>
      </c>
    </row>
    <row r="61" spans="5:7" x14ac:dyDescent="0.3">
      <c r="E61" t="s">
        <v>124</v>
      </c>
      <c r="G61" t="s">
        <v>92</v>
      </c>
    </row>
    <row r="62" spans="5:7" x14ac:dyDescent="0.3">
      <c r="E62" t="s">
        <v>71</v>
      </c>
      <c r="G62" t="s">
        <v>93</v>
      </c>
    </row>
    <row r="63" spans="5:7" x14ac:dyDescent="0.3">
      <c r="E63" t="s">
        <v>243</v>
      </c>
      <c r="G63" t="s">
        <v>94</v>
      </c>
    </row>
    <row r="64" spans="5:7" x14ac:dyDescent="0.3">
      <c r="E64" t="s">
        <v>72</v>
      </c>
      <c r="G64" t="s">
        <v>229</v>
      </c>
    </row>
    <row r="65" spans="5:7" x14ac:dyDescent="0.3">
      <c r="E65" t="s">
        <v>244</v>
      </c>
      <c r="G65" t="s">
        <v>238</v>
      </c>
    </row>
    <row r="66" spans="5:7" x14ac:dyDescent="0.3">
      <c r="E66" t="s">
        <v>120</v>
      </c>
      <c r="G66" t="s">
        <v>95</v>
      </c>
    </row>
    <row r="67" spans="5:7" x14ac:dyDescent="0.3">
      <c r="E67" t="s">
        <v>245</v>
      </c>
      <c r="G67" t="s">
        <v>153</v>
      </c>
    </row>
    <row r="68" spans="5:7" x14ac:dyDescent="0.3">
      <c r="E68" t="s">
        <v>121</v>
      </c>
      <c r="G68" t="s">
        <v>96</v>
      </c>
    </row>
    <row r="69" spans="5:7" x14ac:dyDescent="0.3">
      <c r="E69" t="s">
        <v>75</v>
      </c>
      <c r="G69" t="s">
        <v>97</v>
      </c>
    </row>
    <row r="70" spans="5:7" x14ac:dyDescent="0.3">
      <c r="E70" t="s">
        <v>76</v>
      </c>
      <c r="G70" t="s">
        <v>98</v>
      </c>
    </row>
    <row r="71" spans="5:7" x14ac:dyDescent="0.3">
      <c r="E71" t="s">
        <v>73</v>
      </c>
      <c r="G71" t="s">
        <v>99</v>
      </c>
    </row>
    <row r="72" spans="5:7" x14ac:dyDescent="0.3">
      <c r="E72" t="s">
        <v>74</v>
      </c>
      <c r="G72" t="s">
        <v>100</v>
      </c>
    </row>
    <row r="73" spans="5:7" x14ac:dyDescent="0.3">
      <c r="E73" t="s">
        <v>77</v>
      </c>
      <c r="G73" t="s">
        <v>101</v>
      </c>
    </row>
    <row r="74" spans="5:7" x14ac:dyDescent="0.3">
      <c r="E74" t="s">
        <v>78</v>
      </c>
      <c r="G74" t="s">
        <v>102</v>
      </c>
    </row>
    <row r="75" spans="5:7" x14ac:dyDescent="0.3">
      <c r="E75" t="s">
        <v>79</v>
      </c>
    </row>
    <row r="76" spans="5:7" x14ac:dyDescent="0.3">
      <c r="E76" t="s">
        <v>80</v>
      </c>
    </row>
    <row r="77" spans="5:7" x14ac:dyDescent="0.3">
      <c r="E77" t="s">
        <v>125</v>
      </c>
    </row>
    <row r="78" spans="5:7" x14ac:dyDescent="0.3">
      <c r="E78" t="s">
        <v>81</v>
      </c>
    </row>
    <row r="79" spans="5:7" x14ac:dyDescent="0.3">
      <c r="E79" t="s">
        <v>82</v>
      </c>
    </row>
    <row r="80" spans="5:7" x14ac:dyDescent="0.3">
      <c r="E80" t="s">
        <v>83</v>
      </c>
    </row>
    <row r="81" spans="5:5" x14ac:dyDescent="0.3">
      <c r="E81" t="s">
        <v>47</v>
      </c>
    </row>
    <row r="82" spans="5:5" x14ac:dyDescent="0.3">
      <c r="E82" t="s">
        <v>6</v>
      </c>
    </row>
    <row r="83" spans="5:5" x14ac:dyDescent="0.3">
      <c r="E83" t="s">
        <v>111</v>
      </c>
    </row>
    <row r="84" spans="5:5" x14ac:dyDescent="0.3">
      <c r="E84" t="s">
        <v>84</v>
      </c>
    </row>
    <row r="85" spans="5:5" x14ac:dyDescent="0.3">
      <c r="E85" t="s">
        <v>247</v>
      </c>
    </row>
    <row r="86" spans="5:5" x14ac:dyDescent="0.3">
      <c r="E86" t="s">
        <v>246</v>
      </c>
    </row>
    <row r="87" spans="5:5" x14ac:dyDescent="0.3">
      <c r="E87" t="s">
        <v>178</v>
      </c>
    </row>
    <row r="88" spans="5:5" x14ac:dyDescent="0.3">
      <c r="E88" t="s">
        <v>203</v>
      </c>
    </row>
    <row r="89" spans="5:5" x14ac:dyDescent="0.3">
      <c r="E89" t="s">
        <v>248</v>
      </c>
    </row>
    <row r="90" spans="5:5" x14ac:dyDescent="0.3">
      <c r="E90" t="s">
        <v>110</v>
      </c>
    </row>
    <row r="91" spans="5:5" x14ac:dyDescent="0.3">
      <c r="E91" t="s">
        <v>112</v>
      </c>
    </row>
    <row r="92" spans="5:5" x14ac:dyDescent="0.3">
      <c r="E92" t="s">
        <v>48</v>
      </c>
    </row>
    <row r="93" spans="5:5" x14ac:dyDescent="0.3">
      <c r="E93" t="s">
        <v>85</v>
      </c>
    </row>
    <row r="94" spans="5:5" x14ac:dyDescent="0.3">
      <c r="E94" t="s">
        <v>86</v>
      </c>
    </row>
    <row r="95" spans="5:5" x14ac:dyDescent="0.3">
      <c r="E95" t="s">
        <v>113</v>
      </c>
    </row>
    <row r="96" spans="5:5" x14ac:dyDescent="0.3">
      <c r="E96" t="s">
        <v>87</v>
      </c>
    </row>
    <row r="97" spans="5:5" x14ac:dyDescent="0.3">
      <c r="E97" t="s">
        <v>88</v>
      </c>
    </row>
    <row r="98" spans="5:5" x14ac:dyDescent="0.3">
      <c r="E98" t="s">
        <v>7</v>
      </c>
    </row>
    <row r="99" spans="5:5" x14ac:dyDescent="0.3">
      <c r="E99" t="s">
        <v>122</v>
      </c>
    </row>
    <row r="100" spans="5:5" x14ac:dyDescent="0.3">
      <c r="E100" t="s">
        <v>49</v>
      </c>
    </row>
    <row r="101" spans="5:5" x14ac:dyDescent="0.3">
      <c r="E101" t="s">
        <v>89</v>
      </c>
    </row>
    <row r="102" spans="5:5" x14ac:dyDescent="0.3">
      <c r="E102" t="s">
        <v>91</v>
      </c>
    </row>
    <row r="103" spans="5:5" x14ac:dyDescent="0.3">
      <c r="E103" t="s">
        <v>90</v>
      </c>
    </row>
    <row r="104" spans="5:5" x14ac:dyDescent="0.3">
      <c r="E104" t="s">
        <v>36</v>
      </c>
    </row>
    <row r="105" spans="5:5" x14ac:dyDescent="0.3">
      <c r="E105" t="s">
        <v>126</v>
      </c>
    </row>
    <row r="106" spans="5:5" x14ac:dyDescent="0.3">
      <c r="E106" t="s">
        <v>94</v>
      </c>
    </row>
    <row r="107" spans="5:5" x14ac:dyDescent="0.3">
      <c r="E107" t="s">
        <v>92</v>
      </c>
    </row>
    <row r="108" spans="5:5" x14ac:dyDescent="0.3">
      <c r="E108" t="s">
        <v>93</v>
      </c>
    </row>
    <row r="109" spans="5:5" x14ac:dyDescent="0.3">
      <c r="E109" t="s">
        <v>177</v>
      </c>
    </row>
    <row r="110" spans="5:5" x14ac:dyDescent="0.3">
      <c r="E110" t="s">
        <v>229</v>
      </c>
    </row>
    <row r="111" spans="5:5" x14ac:dyDescent="0.3">
      <c r="E111" t="s">
        <v>8</v>
      </c>
    </row>
    <row r="112" spans="5:5" x14ac:dyDescent="0.3">
      <c r="E112" t="s">
        <v>238</v>
      </c>
    </row>
    <row r="113" spans="5:5" x14ac:dyDescent="0.3">
      <c r="E113" t="s">
        <v>50</v>
      </c>
    </row>
    <row r="114" spans="5:5" x14ac:dyDescent="0.3">
      <c r="E114" t="s">
        <v>253</v>
      </c>
    </row>
    <row r="115" spans="5:5" x14ac:dyDescent="0.3">
      <c r="E115" t="s">
        <v>100</v>
      </c>
    </row>
    <row r="116" spans="5:5" x14ac:dyDescent="0.3">
      <c r="E116" t="s">
        <v>95</v>
      </c>
    </row>
    <row r="117" spans="5:5" x14ac:dyDescent="0.3">
      <c r="E117" t="s">
        <v>153</v>
      </c>
    </row>
    <row r="118" spans="5:5" x14ac:dyDescent="0.3">
      <c r="E118" t="s">
        <v>96</v>
      </c>
    </row>
    <row r="119" spans="5:5" x14ac:dyDescent="0.3">
      <c r="E119" t="s">
        <v>97</v>
      </c>
    </row>
    <row r="120" spans="5:5" x14ac:dyDescent="0.3">
      <c r="E120" t="s">
        <v>98</v>
      </c>
    </row>
    <row r="121" spans="5:5" x14ac:dyDescent="0.3">
      <c r="E121" t="s">
        <v>99</v>
      </c>
    </row>
    <row r="122" spans="5:5" x14ac:dyDescent="0.3">
      <c r="E122" t="s">
        <v>51</v>
      </c>
    </row>
    <row r="123" spans="5:5" x14ac:dyDescent="0.3">
      <c r="E123" t="s">
        <v>179</v>
      </c>
    </row>
    <row r="124" spans="5:5" x14ac:dyDescent="0.3">
      <c r="E124" t="s">
        <v>114</v>
      </c>
    </row>
    <row r="125" spans="5:5" x14ac:dyDescent="0.3">
      <c r="E125" t="s">
        <v>202</v>
      </c>
    </row>
    <row r="126" spans="5:5" x14ac:dyDescent="0.3">
      <c r="E126" t="s">
        <v>101</v>
      </c>
    </row>
    <row r="127" spans="5:5" x14ac:dyDescent="0.3">
      <c r="E127" t="s">
        <v>102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8"/>
  <sheetViews>
    <sheetView workbookViewId="0">
      <selection activeCell="B14" sqref="B14"/>
    </sheetView>
  </sheetViews>
  <sheetFormatPr defaultColWidth="8.88671875" defaultRowHeight="14.4" x14ac:dyDescent="0.3"/>
  <cols>
    <col min="1" max="1" width="16.88671875" customWidth="1"/>
  </cols>
  <sheetData>
    <row r="1" spans="1:2" x14ac:dyDescent="0.3">
      <c r="A1" t="s">
        <v>185</v>
      </c>
      <c r="B1">
        <f>IF(Year1Chem?="Chemistry",IF(Year1Earth?="Earth Science",1,IF(Year1Phys?="Physics",IF(SUMIFS(Course_Weight,Department,"PHYS",Course_Number,"132",Course_Mark,"&gt;=50")+SUMIFS(Course_Weight,Department,"PHYS",Course_Number,"132",Course_Mark,"CR")=0.5,1.25,1),IF(Year1Bio?="Biology",IF(FYBIOL1Labs,IF(FYBIOL2Labs,1,0.75),IF(FYBIOL2Labs,0.75,0.5)),0))),IF(Year1Earth?="Earth Science",IF(Year1Phys?="Physics",IF(SUMIFS(Course_Weight,Department,"PHYS",Course_Number,"132",Course_Mark,"&gt;=50")+SUMIFS(Course_Weight,Department,"PHYS",Course_Number,"132",Course_Mark,"CR")=0.5,1.25,1),IF(Year1Bio?="Biology",IF(FYBIOL2Labs,IF(FYBIOL2Labs,1,0.75),IF(FYBIOL2Labs,0.75,0.5)),0)),IF(Year1Phys?="Physics",IF(SUMIFS(Course_Weight,Department,"PHYS",Course_Number,"132",Course_Mark,"&gt;=50")+SUMIFS(Course_Weight,Department,"PHYS",Course_Number,"132",Course_Mark,"CR")=0.5,IF(Year1Bio?="Biology",IF(FYBIOL1Labs,IF(FYBIOL2Labs,1.25,1),IF(FYBIOL2Labs,1,0.75)),IF(Year1Bio?="Biology",IF(FYBIOL1Labs,IF(FYBIOL2Labs,1,0.75),IF(FYBIOL2Labs,0.75,0.5)),0)),IF(Year1Bio?="Biology",IF(FYBIOL2Labs,IF(FYBIOL2Labs,1,0.75),IF(FYBIOL2Labs,0.75,0.5)),0.5)),IF(Year1Bio?="Biology",IF(FYBIOL1Labs,IF(FYBIOL2Labs,0.5,0.25),IF(FYBIOL2Labs,0.25,0)),0))))</f>
        <v>0</v>
      </c>
    </row>
    <row r="2" spans="1:2" x14ac:dyDescent="0.3">
      <c r="A2" t="s">
        <v>186</v>
      </c>
      <c r="B2">
        <f>(SUMIFS(Course_Weight,Faculty,"SCI",Course_Number,"&gt;=300",Course_Type,"LAB.25",Course_Mark,"&gt;=50")+SUMIFS(Course_Weight,Faculty,"SCI",Course_Number,"&gt;=300",Course_Type,"LAB.25",Course_Mark,"CR")+SUMIFS(Course_Weight,Faculty,"SCI",Course_Number,"&gt;=300",Course_Type,"LAB.50",Course_Mark,"&gt;=50")+SUMIFS(Course_Weight,Faculty,"SCI",Course_Number,"&gt;=300",Course_Type,"LAB.50",Course_Mark,"CR"))</f>
        <v>0</v>
      </c>
    </row>
    <row r="3" spans="1:2" x14ac:dyDescent="0.3">
      <c r="A3" t="s">
        <v>211</v>
      </c>
      <c r="B3">
        <f>(SUMIFS(Course_Weight,Faculty,"SCI",Course_Number,"&gt;=200",Course_Number,"&lt;300",Course_Type,"LAB.25",Course_Mark,"&gt;=50")+SUMIFS(Course_Weight,Faculty,"SCI",Course_Number,"&gt;=200",Course_Number,"&lt;300",Course_Type,"LAB.25",Course_Mark,"CR")+SUMIFS(Course_Weight,Faculty,"SCI",Course_Number,"&gt;=200",Course_Number,"&lt;300",Course_Type,"LAB.50",Course_Mark,"&gt;=50")+SUMIFS(Course_Weight,Faculty,"SCI",Course_Number,"&gt;=200",Course_Number,"&lt;300",Course_Type,"LAB.50",Course_Mark,"CR"))</f>
        <v>0</v>
      </c>
    </row>
    <row r="4" spans="1:2" x14ac:dyDescent="0.3">
      <c r="A4" t="s">
        <v>212</v>
      </c>
      <c r="B4">
        <f>(SUMIFS(Course_Weight,Department,"BIOL",Course_Number,"&lt;200",Course_Type,"LAB.25",Course_Mark,"&gt;=50")+SUMIFS(Course_Weight,Department,"BIOL",Course_Number,"&lt;200",Course_Type,"LAB.25",Course_Mark,"CR")+SUMIFS(Course_Weight,Department,"BIOL",Course_Number,"&lt;200",Course_Type,"LAB.50",Course_Mark,"&gt;=50")+SUMIFS(Course_Weight,Department,"BIOL",Course_Number,"&lt;200",Course_Type,"LAB.50",Course_Mark,"CR"))</f>
        <v>0</v>
      </c>
    </row>
    <row r="5" spans="1:2" x14ac:dyDescent="0.3">
      <c r="A5" t="s">
        <v>213</v>
      </c>
      <c r="B5">
        <f>SUMIFS(Course_Weight,Faculty,"SCI",Course_Number,"&gt;=300",Course_Type,"LEC",Course_Mark,"&gt;=50")+SUMIFS(Course_Weight,Faculty,"SCI",Course_Number,"&gt;=300",Course_Type,"LEC",Course_Mark,"CR")+SUMIFS(Course_Weight,Faculty,"SCI",Course_Number,"&gt;=300",Course_Type,"PRJ",Course_Mark,"&gt;=50")+SUMIFS(Course_Weight,Faculty,"SCI",Course_Number,"&gt;=300",Course_Type,"PRJ",Course_Mark,"CR")</f>
        <v>0</v>
      </c>
    </row>
    <row r="6" spans="1:2" x14ac:dyDescent="0.3">
      <c r="A6" t="s">
        <v>187</v>
      </c>
      <c r="B6">
        <f>IF(SUMIFS(Course_Weight,Grade_Points,"&gt;0")=0,0,SUMIFS(Grade_Points,Grade_Points,"&gt;0")/SUMIFS(Course_Weight,Grade_Points,"&gt;0"))</f>
        <v>0</v>
      </c>
    </row>
    <row r="7" spans="1:2" x14ac:dyDescent="0.3">
      <c r="A7" t="s">
        <v>188</v>
      </c>
      <c r="B7">
        <f>IF(SUMIFS(Course_Weight,Faculty,"SCI",Grade_Points,"&gt;0")-SUMIFS(Course_Weight,Department,"SCI",Course_Number,237,Grade_Points,"&gt;0")-SUMIFS(Course_Weight,Department,"SCI",Course_Number,"&gt;=300",Grade_Points,"&gt;0")=0,0,(SUMIFS(Grade_Points,Faculty,"SCI",Grade_Points,"&gt;0")-SUMIFS(Grade_Points,Department,"SCI",Course_Number,237,Grade_Points,"&gt;0")-SUMIFS(Grade_Points,Department,"SCI",Course_Number,"&gt;=300",Grade_Points,"&gt;=0"))/(SUMIFS(Course_Weight,Faculty,"SCI",Grade_Points,"&gt;0")-SUMIFS(Course_Weight,Department,"SCI",Course_Number,237,Grade_Points,"&gt;0")-SUMIFS(Course_Weight,Department,"SCI",Course_Number,"&gt;=300",Grade_Points,"&gt;0")))</f>
        <v>0</v>
      </c>
    </row>
    <row r="8" spans="1:2" x14ac:dyDescent="0.3">
      <c r="A8" t="s">
        <v>189</v>
      </c>
      <c r="B8">
        <f>SUMIFS(Course_Weight,Course_Type,"LAB.25",Course_Mark,"&gt;=50")+SUMIFS(Course_Weight,Course_Type,"LAB.25",Course_Mark,"CR")+SUMIFS(Course_Weight,Course_Type,"LAB.50",Course_Mark,"&gt;=50")+SUMIFS(Course_Weight,Course_Type,"LAB.50",Course_Mark,"CR")</f>
        <v>0</v>
      </c>
    </row>
    <row r="9" spans="1:2" x14ac:dyDescent="0.3">
      <c r="A9" t="s">
        <v>190</v>
      </c>
      <c r="B9">
        <f>SUMIFS(Course_Weight,Course_Mark,"&gt;=50")+SUMIFS(Course_Weight,Course_Mark,"CR")</f>
        <v>0</v>
      </c>
    </row>
    <row r="10" spans="1:2" x14ac:dyDescent="0.3">
      <c r="A10" t="s">
        <v>191</v>
      </c>
      <c r="B10">
        <f>SUMIFS(Course_Weight,Faculty,"SCI",Course_Mark,"&gt;=50")+SUMIFS(Course_Weight,Faculty,"SCI",Course_Mark,"CR")-SciCountNotAllowed</f>
        <v>0</v>
      </c>
    </row>
    <row r="11" spans="1:2" x14ac:dyDescent="0.3">
      <c r="A11" t="s">
        <v>192</v>
      </c>
      <c r="B11">
        <f>SUMIFS(Course_Weight,Faculty,"MATH",Course_Mark,"&gt;=50")+SUMIFS(Course_Weight,Faculty,"MATH",Course_Mark,"CR")</f>
        <v>0</v>
      </c>
    </row>
    <row r="12" spans="1:2" x14ac:dyDescent="0.3">
      <c r="A12" t="s">
        <v>193</v>
      </c>
      <c r="B12">
        <f>SUMIF(Course_Mark,"&lt;50",Course_Weight)+SUMIF(Course_Mark,"FTC",Course_Weight)+SUMIF(Course_Mark,"DNW",Course_Weight)+SUMIF(Course_Mark,"WF",Course_Weight)+SUMIF(Course_Mark,"NMR",Course_Weight)</f>
        <v>0</v>
      </c>
    </row>
    <row r="13" spans="1:2" x14ac:dyDescent="0.3">
      <c r="A13" t="s">
        <v>194</v>
      </c>
      <c r="B13">
        <f>SUMIFS(Course_Weight,Department,"SCI",Course_Mark,"&gt;=50")+SUMIFS(Course_Weight,Department,"SCI",Course_Mark,"CR")-SciCountNotAllowed</f>
        <v>0</v>
      </c>
    </row>
    <row r="14" spans="1:2" x14ac:dyDescent="0.3">
      <c r="A14" t="s">
        <v>195</v>
      </c>
      <c r="B14">
        <f>SUMIFS(Course_Weight,Faculty,"MATH",Department,"COMM",Course_Type,"LEC",Course_Mark,"&gt;=50")+SUMIFS(Course_Weight,Faculty,"MATH",Department,"COMM",Course_Type,"LEC",Course_Mark,"CR")+SUMIFS(Course_Weight,Faculty,"MATH",Department,"MTHEL",Course_Type,"LEC",Course_Mark,"&gt;=50")+SUMIFS(Course_Weight,Faculty,"MATH",Department,"MTHEL",Course_Type,"LEC",Course_Mark,"CR")+SUMIFS(Course_Weight,Department,"MATH",Course_Number,"103",Course_Mark,"&gt;=50")+SUMIFS(Course_Weight,Department,"MATH",Course_Number,"103",Course_Mark,"CR")+SUMIFS(Course_Weight,Department,"CS",Course_Number,"100",Course_Mark,"&gt;=50")+SUMIFS(Course_Weight,Department,"CS",Course_Number,"100",Course_Mark,"CR")</f>
        <v>0</v>
      </c>
    </row>
    <row r="15" spans="1:2" x14ac:dyDescent="0.3">
      <c r="A15" t="s">
        <v>201</v>
      </c>
      <c r="B15">
        <f>SUMIFS(Grade_Points,Department,"SCI",Course_Number,"&gt;=300")+SUMIFS(Grade_Points,Department,"SCI",Course_Number,237)</f>
        <v>0</v>
      </c>
    </row>
    <row r="16" spans="1:2" x14ac:dyDescent="0.3">
      <c r="A16" t="s">
        <v>200</v>
      </c>
      <c r="B16">
        <f>SUMIFS(Course_Weight,Department,"SCI",Course_Number,"&gt;=300",Course_Mark,"&gt;=50")+SUMIFS(Course_Weight,Department,"SCI",Course_Number,"&gt;=300",Course_Mark,"CR")+SUMIFS(Course_Weight,Department,"SCI",Course_Number,237,Course_Mark,"&gt;=50")+SUMIFS(Course_Weight,Department,"SCI",Course_Number,237,Course_Mark,"CR")</f>
        <v>0</v>
      </c>
    </row>
    <row r="17" spans="1:2" x14ac:dyDescent="0.3">
      <c r="A17" t="s">
        <v>196</v>
      </c>
      <c r="B17" t="b">
        <f>OR(FYBIOL1=130,FYBIOL1=140,FYBIOL1=273,FYBIOL1=240)</f>
        <v>0</v>
      </c>
    </row>
    <row r="18" spans="1:2" x14ac:dyDescent="0.3">
      <c r="A18" t="s">
        <v>197</v>
      </c>
      <c r="B18" t="b">
        <f>OR(FYBIOL2=130,FYBIOL2=140,FYBIOL2=273,FYBIOL2=240)</f>
        <v>0</v>
      </c>
    </row>
    <row r="19" spans="1:2" x14ac:dyDescent="0.3">
      <c r="A19" t="s">
        <v>198</v>
      </c>
      <c r="B19">
        <f>SUMIFS(Course_Weight,Faculty,"SCI",Course_Number,"&gt;=200",Course_Type,"LEC",Course_Mark,"&gt;=50")+SUMIFS(Course_Weight,Faculty,"SCI",Course_Number,"&gt;=200",Course_Type,"LEC",Course_Mark,"CR")-SciCountNotAllowed</f>
        <v>0</v>
      </c>
    </row>
    <row r="20" spans="1:2" x14ac:dyDescent="0.3">
      <c r="A20" t="s">
        <v>199</v>
      </c>
      <c r="B20">
        <f>SUMIFS(Course_Weight,Department,"BIOL",Course_Number,"&gt;=100",Course_Number,"&lt;200",Course_Type,"LEC",Course_Mark,"&gt;=50")+SUMIFS(Course_Weight,Department,"BIOL",Course_Number,"&gt;=100",Course_Number,"&lt;200",Course_Type,"LEC",Course_Mark,"CR")</f>
        <v>0</v>
      </c>
    </row>
    <row r="21" spans="1:2" x14ac:dyDescent="0.3">
      <c r="A21" t="s">
        <v>205</v>
      </c>
      <c r="B21">
        <f>IFERROR(SUMIFS(Grade_Points,Department,"EARTH")/SUMIFS(Course_Weight,Department,"EARTH",Grade_Points,"&gt;0"),0)</f>
        <v>0</v>
      </c>
    </row>
    <row r="22" spans="1:2" x14ac:dyDescent="0.3">
      <c r="A22" t="s">
        <v>208</v>
      </c>
      <c r="B22">
        <f>IFERROR(SUMIFS(Grade_Points,Department,"PHYS")/SUMIFS(Course_Weight,Department,"PHYS",Grade_Points,"&gt;0"),0)</f>
        <v>0</v>
      </c>
    </row>
    <row r="23" spans="1:2" x14ac:dyDescent="0.3">
      <c r="A23" t="s">
        <v>207</v>
      </c>
      <c r="B23">
        <f>IFERROR(SUMIFS(Grade_Points,Department,"CHEM")/SUMIFS(Course_Weight,Department,"CHEM",Grade_Points,"&gt;0"),0)</f>
        <v>0</v>
      </c>
    </row>
    <row r="24" spans="1:2" x14ac:dyDescent="0.3">
      <c r="A24" t="s">
        <v>206</v>
      </c>
      <c r="B24">
        <f>IFERROR(SUMIFS(Grade_Points,Department,"BIOL")/SUMIFS(Course_Weight,Department,"BIOL",Grade_Points,"&gt;0"),0)</f>
        <v>0</v>
      </c>
    </row>
    <row r="25" spans="1:2" x14ac:dyDescent="0.3">
      <c r="A25" t="s">
        <v>214</v>
      </c>
      <c r="B25">
        <f>IF(Year1Bio?="Biology",IF(AND(FYBIOL1Labs,FYBIOL2Labs),IF(LabCounter200-0.5&gt;1,1,LabCount200+LabCount100Biol-0.5),IF(OR(FYBIOL1Labs,FYBIOL2Labs),IF(LabCounter200-0.25&gt;1.25,1.25,LabCount200+LabCount100Biol-0.25),IF(LabCounter200&gt;1.5,1.5,LabCount200+LabCount100Biol))),IF(LabCounter200&gt;1,1,LabCount200+LabCount100Biol))</f>
        <v>0</v>
      </c>
    </row>
    <row r="26" spans="1:2" x14ac:dyDescent="0.3">
      <c r="A26" t="s">
        <v>210</v>
      </c>
      <c r="B26">
        <f>LabCount300+LabCount200+LabCount100Biol</f>
        <v>0</v>
      </c>
    </row>
    <row r="27" spans="1:2" x14ac:dyDescent="0.3">
      <c r="A27" t="s">
        <v>215</v>
      </c>
      <c r="B27">
        <f>IF(Year1Bio?="Biology",IF(AND(FYBIOL1Labs,FYBIOL2Labs),IF(LabCount300&gt;1,1,LabCount300),IF(OR(FYBIOL1Labs,FYBIOL2Labs),IF(LabCount300&gt;1.25,1.25,LabCount300),IF(LabCount300&gt;1.5,1.5,LabCount300))),IF(LabCount300&gt;1,1,LabCount300))</f>
        <v>0</v>
      </c>
    </row>
    <row r="28" spans="1:2" x14ac:dyDescent="0.3">
      <c r="A28" t="s">
        <v>219</v>
      </c>
      <c r="B28">
        <f>SUMIFS(Course_Weight,Department,"BIOL",Course_Number,112,Course_Mark,"&gt;=50")+SUMIFS(Course_Weight,Department,"BIOL",Course_Number,112,Course_Mark,"CR")+SUMIFS(Course_Weight,Department,"BIOL",Course_Number,101,Course_Mark,"&gt;=50")+SUMIFS(Course_Weight,Department,"BIOL",Course_Number,101,Course_Mark,"CR")</f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"/>
  <sheetViews>
    <sheetView workbookViewId="0">
      <selection activeCell="B17" sqref="B17"/>
    </sheetView>
  </sheetViews>
  <sheetFormatPr defaultRowHeight="14.4" x14ac:dyDescent="0.3"/>
  <cols>
    <col min="2" max="2" width="164" customWidth="1"/>
  </cols>
  <sheetData>
    <row r="1" spans="1:2" x14ac:dyDescent="0.3">
      <c r="A1" t="s">
        <v>222</v>
      </c>
      <c r="B1" t="s">
        <v>162</v>
      </c>
    </row>
    <row r="2" spans="1:2" ht="28.8" x14ac:dyDescent="0.3">
      <c r="A2" s="7">
        <v>2.4</v>
      </c>
      <c r="B2" s="31" t="s">
        <v>221</v>
      </c>
    </row>
    <row r="3" spans="1:2" x14ac:dyDescent="0.3">
      <c r="A3" s="86">
        <v>2.5</v>
      </c>
      <c r="B3" s="31" t="s">
        <v>220</v>
      </c>
    </row>
    <row r="4" spans="1:2" ht="28.8" x14ac:dyDescent="0.3">
      <c r="A4" s="86"/>
      <c r="B4" s="31" t="s">
        <v>223</v>
      </c>
    </row>
    <row r="5" spans="1:2" x14ac:dyDescent="0.3">
      <c r="A5" t="s">
        <v>224</v>
      </c>
      <c r="B5" s="31" t="s">
        <v>225</v>
      </c>
    </row>
    <row r="6" spans="1:2" x14ac:dyDescent="0.3">
      <c r="A6" t="s">
        <v>224</v>
      </c>
      <c r="B6" s="31" t="s">
        <v>230</v>
      </c>
    </row>
    <row r="7" spans="1:2" x14ac:dyDescent="0.3">
      <c r="B7" s="31" t="s">
        <v>231</v>
      </c>
    </row>
    <row r="8" spans="1:2" x14ac:dyDescent="0.3">
      <c r="B8" s="31" t="s">
        <v>234</v>
      </c>
    </row>
    <row r="9" spans="1:2" x14ac:dyDescent="0.3">
      <c r="B9" s="31" t="s">
        <v>235</v>
      </c>
    </row>
    <row r="10" spans="1:2" x14ac:dyDescent="0.3">
      <c r="B10" s="31" t="s">
        <v>250</v>
      </c>
    </row>
    <row r="11" spans="1:2" x14ac:dyDescent="0.3">
      <c r="A11">
        <v>2.6</v>
      </c>
      <c r="B11" s="31" t="s">
        <v>256</v>
      </c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83</vt:i4>
      </vt:variant>
    </vt:vector>
  </HeadingPairs>
  <TitlesOfParts>
    <vt:vector size="88" baseType="lpstr">
      <vt:lpstr>Interface</vt:lpstr>
      <vt:lpstr>Print</vt:lpstr>
      <vt:lpstr>Constants</vt:lpstr>
      <vt:lpstr>Methods</vt:lpstr>
      <vt:lpstr>Revisions</vt:lpstr>
      <vt:lpstr>AHS</vt:lpstr>
      <vt:lpstr>AllDept</vt:lpstr>
      <vt:lpstr>Arts</vt:lpstr>
      <vt:lpstr>BiolAvgCalc</vt:lpstr>
      <vt:lpstr>BiolExclusionRemover</vt:lpstr>
      <vt:lpstr>BIOLLECCount100</vt:lpstr>
      <vt:lpstr>BIOLlist</vt:lpstr>
      <vt:lpstr>BIOLlookup</vt:lpstr>
      <vt:lpstr>ChemAvgCalc</vt:lpstr>
      <vt:lpstr>CountAll</vt:lpstr>
      <vt:lpstr>CountFail</vt:lpstr>
      <vt:lpstr>CountSCILabel</vt:lpstr>
      <vt:lpstr>Course_Mark</vt:lpstr>
      <vt:lpstr>Course_Number</vt:lpstr>
      <vt:lpstr>Course_Type</vt:lpstr>
      <vt:lpstr>Course_Weight</vt:lpstr>
      <vt:lpstr>Department</vt:lpstr>
      <vt:lpstr>EarthAvgCalc</vt:lpstr>
      <vt:lpstr>Eng</vt:lpstr>
      <vt:lpstr>ENV</vt:lpstr>
      <vt:lpstr>Faculty</vt:lpstr>
      <vt:lpstr>FacultyDropList</vt:lpstr>
      <vt:lpstr>Failed_Units</vt:lpstr>
      <vt:lpstr>FailMax</vt:lpstr>
      <vt:lpstr>FYBIOL1</vt:lpstr>
      <vt:lpstr>FYBIOL1Labs</vt:lpstr>
      <vt:lpstr>FYBIOL2</vt:lpstr>
      <vt:lpstr>FYBIOL2Labs</vt:lpstr>
      <vt:lpstr>FYBIOLCHECK</vt:lpstr>
      <vt:lpstr>FYLabWeight</vt:lpstr>
      <vt:lpstr>Grade_Points</vt:lpstr>
      <vt:lpstr>LabCount100Biol</vt:lpstr>
      <vt:lpstr>LabCount200</vt:lpstr>
      <vt:lpstr>LabCount300</vt:lpstr>
      <vt:lpstr>LabCountAll</vt:lpstr>
      <vt:lpstr>LabCounter200</vt:lpstr>
      <vt:lpstr>LabsMax</vt:lpstr>
      <vt:lpstr>LabUnits</vt:lpstr>
      <vt:lpstr>LEC_Units</vt:lpstr>
      <vt:lpstr>LECMin</vt:lpstr>
      <vt:lpstr>MajorPlanDropList</vt:lpstr>
      <vt:lpstr>MarkMin</vt:lpstr>
      <vt:lpstr>Math</vt:lpstr>
      <vt:lpstr>Math_Units</vt:lpstr>
      <vt:lpstr>MathCountAll</vt:lpstr>
      <vt:lpstr>MathCountNotAllowed</vt:lpstr>
      <vt:lpstr>MathDept</vt:lpstr>
      <vt:lpstr>MathMin</vt:lpstr>
      <vt:lpstr>MISC</vt:lpstr>
      <vt:lpstr>OverallAvg</vt:lpstr>
      <vt:lpstr>OverallAvgCalc</vt:lpstr>
      <vt:lpstr>PhysAvgCalc</vt:lpstr>
      <vt:lpstr>Interface!Print_Area</vt:lpstr>
      <vt:lpstr>PrintList</vt:lpstr>
      <vt:lpstr>PrintResults</vt:lpstr>
      <vt:lpstr>RemainingLabs200</vt:lpstr>
      <vt:lpstr>RemainingLabs300</vt:lpstr>
      <vt:lpstr>SCI</vt:lpstr>
      <vt:lpstr>SCI_COURSE</vt:lpstr>
      <vt:lpstr>SCI_Label</vt:lpstr>
      <vt:lpstr>SCI_Units</vt:lpstr>
      <vt:lpstr>SciAvg</vt:lpstr>
      <vt:lpstr>SciAvgCalc</vt:lpstr>
      <vt:lpstr>SciCount200</vt:lpstr>
      <vt:lpstr>SciCount300</vt:lpstr>
      <vt:lpstr>SciCountAll</vt:lpstr>
      <vt:lpstr>SciCountNotAllowed</vt:lpstr>
      <vt:lpstr>SciDept</vt:lpstr>
      <vt:lpstr>ScienceMin</vt:lpstr>
      <vt:lpstr>SciGPANotAllowed</vt:lpstr>
      <vt:lpstr>SCIMax</vt:lpstr>
      <vt:lpstr>ThreeHun_Units</vt:lpstr>
      <vt:lpstr>ThreeHunMin</vt:lpstr>
      <vt:lpstr>Total_Units</vt:lpstr>
      <vt:lpstr>TotalMin</vt:lpstr>
      <vt:lpstr>TwoHun_Units</vt:lpstr>
      <vt:lpstr>TwoHunMin</vt:lpstr>
      <vt:lpstr>TypeDropList</vt:lpstr>
      <vt:lpstr>Year1Bio?</vt:lpstr>
      <vt:lpstr>Year1Chem?</vt:lpstr>
      <vt:lpstr>Year1Earth?</vt:lpstr>
      <vt:lpstr>Year1Phys?</vt:lpstr>
      <vt:lpstr>YesNo</vt:lpstr>
    </vt:vector>
  </TitlesOfParts>
  <Company>University of Waterloo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j2lamb</dc:creator>
  <cp:lastModifiedBy>Alex Steinke</cp:lastModifiedBy>
  <cp:lastPrinted>2013-06-24T15:09:41Z</cp:lastPrinted>
  <dcterms:created xsi:type="dcterms:W3CDTF">2011-11-11T17:36:11Z</dcterms:created>
  <dcterms:modified xsi:type="dcterms:W3CDTF">2023-06-22T14:39:15Z</dcterms:modified>
</cp:coreProperties>
</file>